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2120" windowHeight="8835" activeTab="2"/>
  </bookViews>
  <sheets>
    <sheet name="Ausgangsdaten" sheetId="1" r:id="rId1"/>
    <sheet name="Planungsrechnung ohne Kredit" sheetId="2" r:id="rId2"/>
    <sheet name="Einfache Vorteilsabschätzung" sheetId="3" r:id="rId3"/>
  </sheets>
  <definedNames/>
  <calcPr fullCalcOnLoad="1"/>
</workbook>
</file>

<file path=xl/sharedStrings.xml><?xml version="1.0" encoding="utf-8"?>
<sst xmlns="http://schemas.openxmlformats.org/spreadsheetml/2006/main" count="162" uniqueCount="148">
  <si>
    <t>Jahr</t>
  </si>
  <si>
    <t>Vergütung</t>
  </si>
  <si>
    <t>Einnahmen</t>
  </si>
  <si>
    <t>Zinsen</t>
  </si>
  <si>
    <t>Zählergebühr</t>
  </si>
  <si>
    <t>Betreiberkosten</t>
  </si>
  <si>
    <t>Ausgaben</t>
  </si>
  <si>
    <t>Anschaffungskosten</t>
  </si>
  <si>
    <t>Gesamtkosten</t>
  </si>
  <si>
    <t>Einspeisevergütung</t>
  </si>
  <si>
    <t>je kWh</t>
  </si>
  <si>
    <t>erwartete Strommenge pro Jahr</t>
  </si>
  <si>
    <t>kWh</t>
  </si>
  <si>
    <t>Abschreibungsdauer</t>
  </si>
  <si>
    <t>Jahre</t>
  </si>
  <si>
    <t>Sonder-
abschreibungen</t>
  </si>
  <si>
    <t>Steuerliches
Ergebnis</t>
  </si>
  <si>
    <t xml:space="preserve">Steuerliches Ergebnis
</t>
  </si>
  <si>
    <t>Umsatzsteuer 
auf Einnahmen</t>
  </si>
  <si>
    <t>p.a.</t>
  </si>
  <si>
    <t>der Anschaffungskosten</t>
  </si>
  <si>
    <t>Persönlicher Spitzensteuersatz</t>
  </si>
  <si>
    <t>einschließlich KiSt und SoliZ</t>
  </si>
  <si>
    <t>Vorsteuer auf 
Anschaffungs-
kosten und laufende Ausgaben</t>
  </si>
  <si>
    <t>Steuerzahlung bzw.
Ersparnis</t>
  </si>
  <si>
    <t>blau = Berechnungsfelder/Vorgaben</t>
  </si>
  <si>
    <t>eigener Zähler oben in AK enthalten, sonst Wert eingeben!</t>
  </si>
  <si>
    <t>Monate im ersten Jahr</t>
  </si>
  <si>
    <t>Monate</t>
  </si>
  <si>
    <t>z.B. 3 bei Installation und Inbetriebnahme 1. Oktober</t>
  </si>
  <si>
    <t>MwSt.</t>
  </si>
  <si>
    <t>gelb = Eingabefelder</t>
  </si>
  <si>
    <t>z.B. Steuerberatung, Instandhaltung, Versicherung, Wartung</t>
  </si>
  <si>
    <t>Normal-
abschreibungen</t>
  </si>
  <si>
    <t>Gezahlte Umsatzsteuer</t>
  </si>
  <si>
    <t>Persönl. 
Steuersatz</t>
  </si>
  <si>
    <t>Inbetriebnahme Oktober 2021</t>
  </si>
  <si>
    <t>eigener Strombedarf pro Jahr</t>
  </si>
  <si>
    <t>lt. letzter Jahresrechnung</t>
  </si>
  <si>
    <t>davon aus PV Anlage</t>
  </si>
  <si>
    <t>Eigen-verbrauch</t>
  </si>
  <si>
    <t>Strompreis Zukauf</t>
  </si>
  <si>
    <t>Die Umsatzsteuer(option) "kostet" eine Nettozahlung von</t>
  </si>
  <si>
    <t>Davon entfallen auf den Eigenverbrauch, d.h. wären sowieso angefallen</t>
  </si>
  <si>
    <t xml:space="preserve">Anteil Ust </t>
  </si>
  <si>
    <t>bleibt ein Vorteil von</t>
  </si>
  <si>
    <t xml:space="preserve">Das deckt nicht die StB-Kosten, wenn man die UStE nicht selber machen kann. </t>
  </si>
  <si>
    <t xml:space="preserve"> Wenn man nach 5 Jahren die Option rückgängig machen kann, dann errechnet</t>
  </si>
  <si>
    <t>sich ein Vorteil von:</t>
  </si>
  <si>
    <t>Summe USt-Zahllast erste 5 Jahre</t>
  </si>
  <si>
    <t>davon für Eigenverbrauch</t>
  </si>
  <si>
    <t>verbleibt ein Vorteil von</t>
  </si>
  <si>
    <t xml:space="preserve">Das deckt knapp die Kosten für die Umsatzsteuererklärungen incl. Option </t>
  </si>
  <si>
    <t>und Rücknahme der Option.</t>
  </si>
  <si>
    <t>D.h. auch für die Umsatzsteuer errechnet sich hier kein überzeugender Vorteil, es sei denn, jemand macht die Steuererklärungen und Voranmeldungen selbst und rechnet sich dafür keine Kosten an.</t>
  </si>
  <si>
    <t xml:space="preserve">Wert vom Anbieter einschl. Grundgebühr </t>
  </si>
  <si>
    <t>Insgesamt wird kein Überschuss erzielt, d.h.unter den gemachten Annahmen liegt Liebhaberei vor, keine Einkommensteuer.</t>
  </si>
  <si>
    <t>Selbstkosten:</t>
  </si>
  <si>
    <t>Abschreibung erstes volles Jahr</t>
  </si>
  <si>
    <t>Kosten gesamt</t>
  </si>
  <si>
    <t>das sind je produzierter kWh</t>
  </si>
  <si>
    <t>zzgl Ust</t>
  </si>
  <si>
    <t>Selbstkosten Brutto</t>
  </si>
  <si>
    <t>/kWh</t>
  </si>
  <si>
    <t>rd</t>
  </si>
  <si>
    <t>Warum es trotzdem nach der LANUV-Berechnung vorteilhaft ist:</t>
  </si>
  <si>
    <t>Man bekommt ja Strom im Wert von</t>
  </si>
  <si>
    <t>Eigenverbrauch zu Fremdabgabepreis</t>
  </si>
  <si>
    <t>das sind kWh</t>
  </si>
  <si>
    <t>das entspricht zu Fremdbezugspreis</t>
  </si>
  <si>
    <t>zzgl 19% USt</t>
  </si>
  <si>
    <t xml:space="preserve">Totalverlust incl. Gutschrift </t>
  </si>
  <si>
    <t>Eigenverbrauch zu Steuerwert</t>
  </si>
  <si>
    <t>Totalverlust ohneEigenverbauch</t>
  </si>
  <si>
    <t>verbleibender Vorteil</t>
  </si>
  <si>
    <t>Eigenverbrauch zu Marktwert</t>
  </si>
  <si>
    <t>Das erscheint nicht viel - aber wenn die Energiepreise steigen und damit der Eigenverbrauch zu Marktwert, wird der Vorteil immer größer, weil ja die Anschaffungskosten fix bleiben und die variablen Kosten mit 2% marginal sind.</t>
  </si>
  <si>
    <t xml:space="preserve">aufgezinst mit 3%  ein jährlicher Vorteil von </t>
  </si>
  <si>
    <t>Preissteigerung</t>
  </si>
  <si>
    <t>eigener Preis =Selbstkosten</t>
  </si>
  <si>
    <t>Ersparnis</t>
  </si>
  <si>
    <t>zzgl. Vergütung Einspeisung</t>
  </si>
  <si>
    <t>Vorteil nominell</t>
  </si>
  <si>
    <t>das sind pro Jahr</t>
  </si>
  <si>
    <t>Vorteil pro Jahr</t>
  </si>
  <si>
    <t xml:space="preserve">nach </t>
  </si>
  <si>
    <t>Jahren</t>
  </si>
  <si>
    <t>einen Gesamtvorteil von</t>
  </si>
  <si>
    <t>ergibt bei</t>
  </si>
  <si>
    <t>Erfahrungswert lt. Solarrechner ("Autarkie")</t>
  </si>
  <si>
    <t>Excel-Tabelle ohne Gewähr! 
Bitte im konkreten Einzelfall Formeln und Berechnungen genau prüfen!!!</t>
  </si>
  <si>
    <t>Die nachfolgende Vorteilhaftigkeitsabschätzung bezieht sich auf das mit dem Solarrechner</t>
  </si>
  <si>
    <t>LANUV für einen Standort in NRW gerechnete Beispiel, Stand August 2021.</t>
  </si>
  <si>
    <t>Die Berechnungen basieren auf folgenden Überlegungen:</t>
  </si>
  <si>
    <t>2. Wenn aber der selbst produzierte Strom billiger ist als gekaufter Strom, dann bringt jede kWh, die man selbst verbrauchen kann in Höhe der Preisdifferenz einen Vorteil.</t>
  </si>
  <si>
    <t>3. Der Vorteil ist umso größer, je mehr Strom ich selbst verbrauchen kann (= je höher der Grad der "Autarkie", d.h. Anteil meines eigenen Stromverbrauchs, den ich aus der Eigenproduktion gewinnen kann).</t>
  </si>
  <si>
    <t>1. Ausgangslage: Die vom Versorger gezahlte Einspeisevergütung ist niedriger als die Kosten der Anlage, d.h. bringt Verlust.</t>
  </si>
  <si>
    <t>1. Was kostet eine selbsterzeugte kWh Strom, die mit meiner Anlage produziert wird?</t>
  </si>
  <si>
    <t>(sog. Selbstkostenpreis)</t>
  </si>
  <si>
    <t>Im Beispiel:</t>
  </si>
  <si>
    <t>Dann kann man wie folgt rechnen (alle Werte annahmegemäß brutto incl. Umsatzsteuer):</t>
  </si>
  <si>
    <t>verteilt auf 20 Jahre Laufzeit ergibt pro Jahr</t>
  </si>
  <si>
    <t>Anschaffungskosten - AK-  (brutto)</t>
  </si>
  <si>
    <t>Gesamtkosten pro Jahr</t>
  </si>
  <si>
    <t>laufende Kosten pro Jahr in %  von AK (brutto)</t>
  </si>
  <si>
    <t>mithin Selbstkosten pro kWh</t>
  </si>
  <si>
    <t>Stromverbrauch pro Jahr im Durchschnitt</t>
  </si>
  <si>
    <t>davon Entnahme aus der Anlage mit Speicher</t>
  </si>
  <si>
    <t>das sind</t>
  </si>
  <si>
    <t>3. Wieviel von dem selbsterzeugten Strom kann ich selbst verbrauchen?</t>
  </si>
  <si>
    <t>2. Preisvorteil je kWh</t>
  </si>
  <si>
    <t>Marktpreis bei Fremdbezug</t>
  </si>
  <si>
    <t>Differenz zu Selbstkosten = Vorteil</t>
  </si>
  <si>
    <t>4. Gesamtvorteil in €</t>
  </si>
  <si>
    <t xml:space="preserve">das sind in </t>
  </si>
  <si>
    <t>ersparte Stromkosten in Höhe von</t>
  </si>
  <si>
    <t>erwartbare Preissteigerungen bei Betriebskosten, Entsorgung: wären wieder dagegen zu rechnen</t>
  </si>
  <si>
    <t>Leistungsminderung der Anlage dito</t>
  </si>
  <si>
    <t>Wettereinflüsse: nicht wirklich vorhersehbar</t>
  </si>
  <si>
    <t>Unabhängigkeit von Stromausfällen-nicht in Euro bewertbar</t>
  </si>
  <si>
    <t>erwartete Strompreissteigerung für Fremdbezug: macht den Vorteil größer</t>
  </si>
  <si>
    <t xml:space="preserve">wenn es technisch so läuft wie bei den PV-Anlagen der ersten Generationen, </t>
  </si>
  <si>
    <t>Kosten</t>
  </si>
  <si>
    <t>so laufen die länger und besser als erwartet , d.h. es gibt nach 20 Jahren weitere Erträge</t>
  </si>
  <si>
    <t>mithin Vorteil pro Jahr  durch weniger Stromkosten eigener Verbrauch</t>
  </si>
  <si>
    <t>Saldo pro Jahr Ergebnis aus Stromeinspeisung</t>
  </si>
  <si>
    <t>zusätzlich ist der eingespeiste Strom zu berücksichtigen:</t>
  </si>
  <si>
    <t>ergibt Gewinn/Verlust aus Stromeinspeisung pro Jahr</t>
  </si>
  <si>
    <t>Gesamtergebnis in 20 Jahren (- = Vorteil/+ = Mehrkosten)</t>
  </si>
  <si>
    <t>6. Was dabei noch nicht berücksichtigt ist</t>
  </si>
  <si>
    <t>Stellschrauben zur Verbesserung sind z.B.</t>
  </si>
  <si>
    <t>&gt; höherer Verbrauch und daraus mehr Eigenverbrauch</t>
  </si>
  <si>
    <t>&gt; niedrigere Kosten bei gleicher Effizienz</t>
  </si>
  <si>
    <t>&gt; steigende Fremdbezugspreise für die kWh</t>
  </si>
  <si>
    <t>5. Ergebnis und Stellschrauben</t>
  </si>
  <si>
    <t xml:space="preserve">alle Zahlen nominell ohne mögliche Zinseffekte </t>
  </si>
  <si>
    <t>Wechsel oder technischer Fortschritt bei Verbrauchstechnologien, z.B. wird hier E-Auto</t>
  </si>
  <si>
    <t>mit E-Auto verglichen; erfolgt gleichzeitig die Umstellung vom Verbrennungsmotor wären auch</t>
  </si>
  <si>
    <t>die damit verbundenen Werte noch interessant.</t>
  </si>
  <si>
    <t>© bpw 2021</t>
  </si>
  <si>
    <t>Wenn mit Steuereffekten gerechnet wird, ergeben sich noch mla andere Werte.</t>
  </si>
  <si>
    <t>&gt; höhere Selbstnutzungsquote (Autarkie) durch bessere Speichertechnologie bei gleichen Kosten</t>
  </si>
  <si>
    <t>5. Steuereffekte sollen außen vor bleiben: Bei der Einkommensteuer liegt Liebhabefrei vor, da hier nur die effektive Verlustsituation zählt und nicht der private Vorteil aus der Stromentnahme. Bei der Umsatzsteuer soll Kleinunternehmerschaft vorliegen, keine Option. Bei Unternehmerfamilien ggfs. die Anlage auf einen Nicht-Unternehmer laufen lassen oder auf eine GbR (z.B. Eheleute), die keine weiteren umsatzsteuerrelevanten Einnahmen erzielt.</t>
  </si>
  <si>
    <t>4. Damit ich nicht zuviel für den schlechten Abgabepreis verkaufen muss oder eventuell sogar vom Versorger wegen zu hoher Spitzenproduktion abgeschaltet werde, sollte gleichzeitig der Anteil meines selbst verbrauchten Stroms an der insgesamt produzierten Menge möglichst hoch sein.</t>
  </si>
  <si>
    <t>Mit den Zahlen aus dem vorstehenden Beispiel ergibt sich kein Gesamtvorteil.</t>
  </si>
  <si>
    <t>&gt; in der Planungsrechnung ist eine Variante mit Umsatzsteueroption gerechnet, wodurch sich</t>
  </si>
  <si>
    <t xml:space="preserve">die Gesamtbilanz verbessert (wenn man keine zusätzlichen Steuerberatungskosten rechnet), </t>
  </si>
  <si>
    <t>aber ohne zusätzliche weitere Verbesserungen bleibt es beim nominellen Verlust.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</si>
</sst>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Red]\-#,##0.00\ [$€-1]"/>
    <numFmt numFmtId="175" formatCode="#,##0.0000\ [$€-1];[Red]\-#,##0.0000\ [$€-1]"/>
    <numFmt numFmtId="176" formatCode="#,##0\ [$€-1];[Red]\-#,##0\ [$€-1]"/>
    <numFmt numFmtId="197" formatCode="#,##0_ ;[Red]\-#,##0\ "/>
    <numFmt numFmtId="213" formatCode="#,##0.00\ &quot;€&quot;"/>
    <numFmt numFmtId="214" formatCode="#,##0\ &quot;€&quot;"/>
    <numFmt numFmtId="227" formatCode="#,##0.0000\ &quot;€&quot;"/>
    <numFmt numFmtId="228" formatCode="0.0%"/>
  </numFmts>
  <fonts count="42">
    <font>
      <sz val="10"/>
      <name val="Arial"/>
      <family val="0"/>
    </font>
    <font>
      <b/>
      <sz val="16"/>
      <name val="Arial"/>
      <family val="2"/>
    </font>
    <font>
      <u val="single"/>
      <sz val="10"/>
      <color indexed="36"/>
      <name val="Arial"/>
      <family val="0"/>
    </font>
    <font>
      <u val="single"/>
      <sz val="10"/>
      <color indexed="12"/>
      <name val="Arial"/>
      <family val="0"/>
    </font>
    <font>
      <sz val="8"/>
      <name val="Arial Narrow"/>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00F0F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color indexed="63"/>
      </top>
      <bottom style="medium"/>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medium"/>
      <top style="medium"/>
      <bottom>
        <color indexed="63"/>
      </bottom>
    </border>
    <border>
      <left style="medium"/>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118">
    <xf numFmtId="0" fontId="0" fillId="0" borderId="0" xfId="0" applyAlignment="1">
      <alignment/>
    </xf>
    <xf numFmtId="0" fontId="1" fillId="0" borderId="0" xfId="0" applyFont="1" applyAlignment="1">
      <alignment/>
    </xf>
    <xf numFmtId="0" fontId="0" fillId="0" borderId="0" xfId="0" applyBorder="1" applyAlignment="1">
      <alignment/>
    </xf>
    <xf numFmtId="172" fontId="0" fillId="0" borderId="0" xfId="0" applyNumberFormat="1" applyAlignment="1">
      <alignment/>
    </xf>
    <xf numFmtId="9" fontId="0" fillId="0" borderId="0" xfId="0" applyNumberFormat="1" applyAlignment="1">
      <alignment/>
    </xf>
    <xf numFmtId="4" fontId="0" fillId="0" borderId="10" xfId="0" applyNumberFormat="1" applyBorder="1" applyAlignment="1">
      <alignment/>
    </xf>
    <xf numFmtId="4" fontId="0" fillId="0" borderId="11" xfId="0" applyNumberFormat="1" applyBorder="1" applyAlignment="1">
      <alignment/>
    </xf>
    <xf numFmtId="4" fontId="0" fillId="0" borderId="0"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4" fontId="0" fillId="0" borderId="16"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176" fontId="0" fillId="0" borderId="0" xfId="0" applyNumberFormat="1" applyAlignment="1">
      <alignment/>
    </xf>
    <xf numFmtId="1" fontId="0" fillId="0" borderId="19" xfId="0" applyNumberFormat="1" applyBorder="1" applyAlignment="1">
      <alignment/>
    </xf>
    <xf numFmtId="4" fontId="0" fillId="0" borderId="20" xfId="0" applyNumberFormat="1" applyBorder="1" applyAlignment="1">
      <alignment/>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1" fontId="0" fillId="0" borderId="24" xfId="0" applyNumberFormat="1" applyBorder="1" applyAlignment="1">
      <alignment/>
    </xf>
    <xf numFmtId="10" fontId="0" fillId="0" borderId="21" xfId="0" applyNumberFormat="1" applyBorder="1" applyAlignment="1">
      <alignment/>
    </xf>
    <xf numFmtId="10" fontId="0" fillId="0" borderId="11" xfId="0" applyNumberFormat="1" applyBorder="1" applyAlignment="1">
      <alignment/>
    </xf>
    <xf numFmtId="10" fontId="0" fillId="0" borderId="15" xfId="0" applyNumberFormat="1" applyBorder="1" applyAlignment="1">
      <alignment/>
    </xf>
    <xf numFmtId="4" fontId="0" fillId="0" borderId="0" xfId="0" applyNumberFormat="1" applyAlignment="1">
      <alignment/>
    </xf>
    <xf numFmtId="4" fontId="0" fillId="33" borderId="13" xfId="0" applyNumberFormat="1" applyFill="1" applyBorder="1" applyAlignment="1">
      <alignment/>
    </xf>
    <xf numFmtId="4" fontId="0" fillId="33" borderId="18" xfId="0" applyNumberFormat="1" applyFill="1" applyBorder="1" applyAlignment="1">
      <alignment/>
    </xf>
    <xf numFmtId="3" fontId="0" fillId="34" borderId="0" xfId="0" applyNumberFormat="1" applyFill="1" applyAlignment="1">
      <alignment/>
    </xf>
    <xf numFmtId="0" fontId="0" fillId="34" borderId="0" xfId="0" applyFill="1" applyAlignment="1">
      <alignment/>
    </xf>
    <xf numFmtId="3" fontId="0" fillId="35" borderId="0" xfId="0" applyNumberFormat="1" applyFill="1" applyAlignment="1">
      <alignment/>
    </xf>
    <xf numFmtId="0" fontId="0" fillId="35" borderId="0" xfId="0" applyFill="1" applyAlignment="1">
      <alignment/>
    </xf>
    <xf numFmtId="175" fontId="0" fillId="35" borderId="0" xfId="0" applyNumberFormat="1" applyFill="1" applyAlignment="1">
      <alignment/>
    </xf>
    <xf numFmtId="9" fontId="0" fillId="34" borderId="0" xfId="0" applyNumberFormat="1" applyFill="1" applyAlignment="1">
      <alignment/>
    </xf>
    <xf numFmtId="4" fontId="0" fillId="36" borderId="0" xfId="0" applyNumberFormat="1" applyFill="1" applyAlignment="1">
      <alignment/>
    </xf>
    <xf numFmtId="0" fontId="0" fillId="36" borderId="0" xfId="0" applyFill="1" applyBorder="1" applyAlignment="1">
      <alignment/>
    </xf>
    <xf numFmtId="4" fontId="0" fillId="36" borderId="0" xfId="0" applyNumberFormat="1" applyFill="1" applyBorder="1" applyAlignment="1">
      <alignment/>
    </xf>
    <xf numFmtId="4" fontId="0" fillId="36" borderId="13" xfId="0" applyNumberFormat="1" applyFill="1" applyBorder="1" applyAlignment="1">
      <alignment/>
    </xf>
    <xf numFmtId="4" fontId="0" fillId="0" borderId="25" xfId="0" applyNumberFormat="1" applyBorder="1" applyAlignment="1">
      <alignment/>
    </xf>
    <xf numFmtId="0" fontId="0" fillId="0" borderId="0" xfId="0" applyFont="1" applyAlignment="1">
      <alignment/>
    </xf>
    <xf numFmtId="4" fontId="0" fillId="0" borderId="26" xfId="0" applyNumberForma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29" xfId="0" applyNumberFormat="1" applyBorder="1" applyAlignment="1">
      <alignment/>
    </xf>
    <xf numFmtId="0" fontId="4" fillId="0" borderId="0" xfId="0" applyFont="1" applyAlignment="1">
      <alignment/>
    </xf>
    <xf numFmtId="4" fontId="0" fillId="0" borderId="30" xfId="0" applyNumberFormat="1" applyBorder="1" applyAlignment="1">
      <alignment/>
    </xf>
    <xf numFmtId="175" fontId="0" fillId="0" borderId="0" xfId="0" applyNumberFormat="1" applyAlignment="1">
      <alignment/>
    </xf>
    <xf numFmtId="0" fontId="5" fillId="0" borderId="0" xfId="0" applyFont="1" applyAlignment="1">
      <alignment/>
    </xf>
    <xf numFmtId="227" fontId="0" fillId="0" borderId="0" xfId="0" applyNumberFormat="1" applyAlignment="1">
      <alignment/>
    </xf>
    <xf numFmtId="227" fontId="5" fillId="0" borderId="0" xfId="0" applyNumberFormat="1" applyFont="1" applyAlignment="1">
      <alignment/>
    </xf>
    <xf numFmtId="8" fontId="0" fillId="0" borderId="0" xfId="0" applyNumberFormat="1" applyAlignment="1">
      <alignment/>
    </xf>
    <xf numFmtId="197" fontId="0" fillId="0" borderId="0" xfId="0" applyNumberFormat="1" applyAlignment="1">
      <alignment horizontal="left" indent="3"/>
    </xf>
    <xf numFmtId="4" fontId="5" fillId="0" borderId="0" xfId="0" applyNumberFormat="1" applyFont="1" applyAlignment="1">
      <alignment/>
    </xf>
    <xf numFmtId="8" fontId="5" fillId="0" borderId="0" xfId="0" applyNumberFormat="1" applyFont="1" applyAlignment="1">
      <alignment/>
    </xf>
    <xf numFmtId="9" fontId="5" fillId="0" borderId="0" xfId="0" applyNumberFormat="1" applyFont="1" applyAlignment="1">
      <alignment/>
    </xf>
    <xf numFmtId="0" fontId="0" fillId="0" borderId="0" xfId="0" applyAlignment="1">
      <alignment/>
    </xf>
    <xf numFmtId="6" fontId="0" fillId="0" borderId="0" xfId="0" applyNumberFormat="1" applyAlignment="1">
      <alignment/>
    </xf>
    <xf numFmtId="0" fontId="0" fillId="0" borderId="0" xfId="0" applyFont="1" applyAlignment="1">
      <alignment horizontal="left" vertical="top" wrapText="1"/>
    </xf>
    <xf numFmtId="0" fontId="0" fillId="0" borderId="0" xfId="0" applyAlignment="1">
      <alignment horizontal="left" vertical="top" wrapText="1"/>
    </xf>
    <xf numFmtId="213" fontId="5" fillId="36" borderId="0" xfId="0" applyNumberFormat="1" applyFont="1" applyFill="1" applyAlignment="1">
      <alignment/>
    </xf>
    <xf numFmtId="213" fontId="0" fillId="37" borderId="0" xfId="0" applyNumberFormat="1" applyFill="1" applyAlignment="1">
      <alignment/>
    </xf>
    <xf numFmtId="227" fontId="0" fillId="37" borderId="0" xfId="0" applyNumberFormat="1" applyFill="1" applyAlignment="1">
      <alignment/>
    </xf>
    <xf numFmtId="227" fontId="5" fillId="37" borderId="0" xfId="0" applyNumberFormat="1" applyFont="1" applyFill="1" applyAlignment="1">
      <alignment/>
    </xf>
    <xf numFmtId="214" fontId="0" fillId="0" borderId="0" xfId="0" applyNumberFormat="1" applyAlignment="1">
      <alignment/>
    </xf>
    <xf numFmtId="214" fontId="5" fillId="0" borderId="0" xfId="0" applyNumberFormat="1" applyFont="1" applyAlignment="1">
      <alignment/>
    </xf>
    <xf numFmtId="227" fontId="0" fillId="0" borderId="0" xfId="0" applyNumberFormat="1" applyFont="1" applyAlignment="1">
      <alignment/>
    </xf>
    <xf numFmtId="0" fontId="41" fillId="0" borderId="0" xfId="0" applyFont="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vertical="top" wrapText="1"/>
    </xf>
    <xf numFmtId="0" fontId="0" fillId="0" borderId="35"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xf>
    <xf numFmtId="0" fontId="0" fillId="0" borderId="35" xfId="0" applyBorder="1" applyAlignment="1">
      <alignment horizontal="center"/>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42" xfId="0" applyFont="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44" xfId="0" applyFont="1" applyBorder="1" applyAlignment="1">
      <alignment horizontal="center" vertical="center" wrapText="1"/>
    </xf>
    <xf numFmtId="0" fontId="0" fillId="0" borderId="30" xfId="0" applyBorder="1" applyAlignment="1">
      <alignment horizontal="center" vertical="center" wrapText="1"/>
    </xf>
    <xf numFmtId="0" fontId="0" fillId="0" borderId="49" xfId="0" applyFill="1" applyBorder="1" applyAlignment="1">
      <alignment horizontal="center" vertical="center" wrapText="1"/>
    </xf>
    <xf numFmtId="0" fontId="0" fillId="0" borderId="50" xfId="0" applyBorder="1" applyAlignment="1">
      <alignment horizontal="center" vertical="center"/>
    </xf>
    <xf numFmtId="0" fontId="0" fillId="0" borderId="45" xfId="0" applyFill="1" applyBorder="1" applyAlignment="1">
      <alignment horizontal="center" vertical="center" wrapText="1"/>
    </xf>
    <xf numFmtId="0" fontId="0" fillId="0" borderId="0" xfId="0" applyAlignment="1">
      <alignment horizontal="left" vertical="top"/>
    </xf>
    <xf numFmtId="0" fontId="0" fillId="0" borderId="51" xfId="0" applyBorder="1" applyAlignment="1">
      <alignment horizontal="center" vertical="center"/>
    </xf>
    <xf numFmtId="0" fontId="0" fillId="0" borderId="52" xfId="0" applyBorder="1" applyAlignment="1">
      <alignment horizontal="center" vertical="center"/>
    </xf>
    <xf numFmtId="214" fontId="0" fillId="0" borderId="0" xfId="0" applyNumberFormat="1" applyFill="1" applyAlignment="1">
      <alignment/>
    </xf>
    <xf numFmtId="0" fontId="0" fillId="0" borderId="0" xfId="0" applyFont="1" applyFill="1" applyAlignment="1">
      <alignment/>
    </xf>
    <xf numFmtId="0" fontId="0" fillId="0" borderId="0" xfId="0" applyFill="1" applyAlignment="1">
      <alignment/>
    </xf>
    <xf numFmtId="228" fontId="0" fillId="0" borderId="0" xfId="0" applyNumberForma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27</xdr:row>
      <xdr:rowOff>28575</xdr:rowOff>
    </xdr:from>
    <xdr:to>
      <xdr:col>11</xdr:col>
      <xdr:colOff>695325</xdr:colOff>
      <xdr:row>27</xdr:row>
      <xdr:rowOff>219075</xdr:rowOff>
    </xdr:to>
    <xdr:sp>
      <xdr:nvSpPr>
        <xdr:cNvPr id="1" name="AutoShape 5"/>
        <xdr:cNvSpPr>
          <a:spLocks/>
        </xdr:cNvSpPr>
      </xdr:nvSpPr>
      <xdr:spPr>
        <a:xfrm>
          <a:off x="10544175" y="4867275"/>
          <a:ext cx="27622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723900</xdr:colOff>
      <xdr:row>27</xdr:row>
      <xdr:rowOff>9525</xdr:rowOff>
    </xdr:from>
    <xdr:to>
      <xdr:col>13</xdr:col>
      <xdr:colOff>1009650</xdr:colOff>
      <xdr:row>27</xdr:row>
      <xdr:rowOff>219075</xdr:rowOff>
    </xdr:to>
    <xdr:sp>
      <xdr:nvSpPr>
        <xdr:cNvPr id="2" name="AutoShape 6"/>
        <xdr:cNvSpPr>
          <a:spLocks/>
        </xdr:cNvSpPr>
      </xdr:nvSpPr>
      <xdr:spPr>
        <a:xfrm>
          <a:off x="12296775" y="4848225"/>
          <a:ext cx="285750" cy="2095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37</xdr:row>
      <xdr:rowOff>95250</xdr:rowOff>
    </xdr:from>
    <xdr:to>
      <xdr:col>11</xdr:col>
      <xdr:colOff>476250</xdr:colOff>
      <xdr:row>48</xdr:row>
      <xdr:rowOff>38100</xdr:rowOff>
    </xdr:to>
    <xdr:sp>
      <xdr:nvSpPr>
        <xdr:cNvPr id="3" name="Gerade Verbindung mit Pfeil 3"/>
        <xdr:cNvSpPr>
          <a:spLocks/>
        </xdr:cNvSpPr>
      </xdr:nvSpPr>
      <xdr:spPr>
        <a:xfrm flipV="1">
          <a:off x="3990975" y="6638925"/>
          <a:ext cx="6610350" cy="1733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view="pageLayout" workbookViewId="0" topLeftCell="A1">
      <selection activeCell="C21" sqref="C21"/>
    </sheetView>
  </sheetViews>
  <sheetFormatPr defaultColWidth="11.421875" defaultRowHeight="12.75"/>
  <cols>
    <col min="2" max="2" width="15.28125" style="0" customWidth="1"/>
    <col min="3" max="3" width="12.57421875" style="0" bestFit="1" customWidth="1"/>
    <col min="11" max="11" width="16.57421875" style="0" customWidth="1"/>
  </cols>
  <sheetData>
    <row r="1" ht="12.75">
      <c r="J1" s="39"/>
    </row>
    <row r="2" spans="1:10" ht="12.75">
      <c r="A2" t="s">
        <v>7</v>
      </c>
      <c r="C2" s="28">
        <v>11774</v>
      </c>
      <c r="E2" s="29" t="s">
        <v>31</v>
      </c>
      <c r="I2" s="66" t="s">
        <v>90</v>
      </c>
      <c r="J2" s="66"/>
    </row>
    <row r="3" spans="1:10" ht="12.75">
      <c r="A3" t="s">
        <v>30</v>
      </c>
      <c r="B3" s="4">
        <v>0.19</v>
      </c>
      <c r="C3" s="30">
        <f>B3*C2</f>
        <v>2237.06</v>
      </c>
      <c r="E3" s="31" t="s">
        <v>25</v>
      </c>
      <c r="I3" s="66"/>
      <c r="J3" s="66"/>
    </row>
    <row r="4" spans="1:13" ht="12.75">
      <c r="A4" t="s">
        <v>8</v>
      </c>
      <c r="C4" s="30">
        <f>SUM(C2:C3)</f>
        <v>14011.06</v>
      </c>
      <c r="I4" s="66"/>
      <c r="J4" s="66"/>
      <c r="L4" s="46"/>
      <c r="M4" s="39"/>
    </row>
    <row r="5" spans="9:12" ht="12.75">
      <c r="I5" s="66"/>
      <c r="J5" s="66"/>
      <c r="K5" s="39"/>
      <c r="L5" s="46"/>
    </row>
    <row r="6" spans="9:10" ht="12.75">
      <c r="I6" s="66"/>
      <c r="J6" s="66"/>
    </row>
    <row r="7" spans="1:10" ht="12.75">
      <c r="A7" t="s">
        <v>9</v>
      </c>
      <c r="C7" s="32">
        <v>0.0714</v>
      </c>
      <c r="D7" t="s">
        <v>10</v>
      </c>
      <c r="E7" t="s">
        <v>36</v>
      </c>
      <c r="I7" s="66"/>
      <c r="J7" s="66"/>
    </row>
    <row r="8" spans="3:10" ht="12.75">
      <c r="C8" s="32"/>
      <c r="I8" s="66"/>
      <c r="J8" s="66"/>
    </row>
    <row r="9" spans="1:13" ht="12.75">
      <c r="A9" s="39" t="s">
        <v>41</v>
      </c>
      <c r="C9" s="32">
        <v>0.3</v>
      </c>
      <c r="D9" t="s">
        <v>10</v>
      </c>
      <c r="E9" s="39" t="s">
        <v>55</v>
      </c>
      <c r="J9" s="39"/>
      <c r="L9" s="46"/>
      <c r="M9" s="39"/>
    </row>
    <row r="10" spans="3:13" ht="12.75">
      <c r="C10" s="3"/>
      <c r="J10" s="39"/>
      <c r="L10" s="46"/>
      <c r="M10" s="39"/>
    </row>
    <row r="11" spans="1:13" ht="12.75">
      <c r="A11" t="s">
        <v>11</v>
      </c>
      <c r="C11" s="29">
        <v>3941</v>
      </c>
      <c r="D11" t="s">
        <v>12</v>
      </c>
      <c r="J11" s="39"/>
      <c r="L11" s="46"/>
      <c r="M11" s="39"/>
    </row>
    <row r="12" spans="3:13" ht="12.75">
      <c r="C12" s="29"/>
      <c r="J12" s="39"/>
      <c r="L12" s="39"/>
      <c r="M12" s="39"/>
    </row>
    <row r="13" spans="1:13" ht="12.75">
      <c r="A13" t="s">
        <v>37</v>
      </c>
      <c r="C13" s="29">
        <v>3200</v>
      </c>
      <c r="D13" t="s">
        <v>12</v>
      </c>
      <c r="E13" t="s">
        <v>38</v>
      </c>
      <c r="K13" s="39"/>
      <c r="L13" s="46"/>
      <c r="M13" s="39"/>
    </row>
    <row r="14" spans="1:5" ht="12.75">
      <c r="A14" t="s">
        <v>39</v>
      </c>
      <c r="C14" s="33">
        <v>0.73</v>
      </c>
      <c r="E14" s="39" t="s">
        <v>89</v>
      </c>
    </row>
    <row r="16" spans="1:4" ht="12.75">
      <c r="A16" t="s">
        <v>13</v>
      </c>
      <c r="C16" s="31">
        <v>20</v>
      </c>
      <c r="D16" t="s">
        <v>14</v>
      </c>
    </row>
    <row r="17" spans="1:5" ht="12.75">
      <c r="A17" t="s">
        <v>27</v>
      </c>
      <c r="C17" s="31">
        <v>3</v>
      </c>
      <c r="D17" t="s">
        <v>28</v>
      </c>
      <c r="E17" t="s">
        <v>29</v>
      </c>
    </row>
    <row r="19" spans="1:5" ht="12.75">
      <c r="A19" t="s">
        <v>4</v>
      </c>
      <c r="C19" s="15">
        <v>0</v>
      </c>
      <c r="D19" t="s">
        <v>19</v>
      </c>
      <c r="E19" t="s">
        <v>26</v>
      </c>
    </row>
    <row r="21" spans="1:6" ht="12.75">
      <c r="A21" t="s">
        <v>5</v>
      </c>
      <c r="C21" s="33">
        <v>0.02</v>
      </c>
      <c r="D21" t="s">
        <v>20</v>
      </c>
      <c r="F21" t="s">
        <v>32</v>
      </c>
    </row>
    <row r="23" ht="12.75">
      <c r="A23" t="s">
        <v>21</v>
      </c>
    </row>
    <row r="24" spans="1:3" ht="12.75">
      <c r="A24" t="s">
        <v>22</v>
      </c>
      <c r="C24" s="33">
        <v>0.35</v>
      </c>
    </row>
    <row r="26" ht="0.75" customHeight="1"/>
    <row r="27" ht="12.75">
      <c r="A27" t="s">
        <v>57</v>
      </c>
    </row>
    <row r="28" spans="1:3" ht="12.75">
      <c r="A28" t="s">
        <v>58</v>
      </c>
      <c r="C28" s="60">
        <f>'Planungsrechnung ohne Kredit'!F7</f>
        <v>588.7</v>
      </c>
    </row>
    <row r="29" spans="1:3" ht="12.75">
      <c r="A29" t="s">
        <v>5</v>
      </c>
      <c r="C29" s="60">
        <f>'Planungsrechnung ohne Kredit'!I7</f>
        <v>235.48000000000002</v>
      </c>
    </row>
    <row r="30" spans="1:3" ht="12.75">
      <c r="A30" t="s">
        <v>59</v>
      </c>
      <c r="C30" s="60">
        <f>SUM(C28:C29)</f>
        <v>824.1800000000001</v>
      </c>
    </row>
    <row r="31" spans="1:3" ht="12.75">
      <c r="A31" t="s">
        <v>60</v>
      </c>
      <c r="C31" s="61">
        <f>C30/C11</f>
        <v>0.2091296625222025</v>
      </c>
    </row>
    <row r="32" spans="1:3" ht="12.75">
      <c r="A32" s="39" t="s">
        <v>61</v>
      </c>
      <c r="B32" s="4">
        <v>0.19</v>
      </c>
      <c r="C32" s="61">
        <f>C31*B32</f>
        <v>0.03973463587921847</v>
      </c>
    </row>
    <row r="33" spans="1:4" ht="12.75">
      <c r="A33" s="47" t="s">
        <v>62</v>
      </c>
      <c r="B33" s="47"/>
      <c r="C33" s="62">
        <f>C31+C32</f>
        <v>0.24886429840142096</v>
      </c>
      <c r="D33" s="47" t="s">
        <v>63</v>
      </c>
    </row>
    <row r="34" spans="1:4" ht="12.75">
      <c r="A34" s="47"/>
      <c r="B34" s="47" t="s">
        <v>64</v>
      </c>
      <c r="C34" s="59">
        <v>0.25</v>
      </c>
      <c r="D34" s="47" t="s">
        <v>63</v>
      </c>
    </row>
  </sheetData>
  <sheetProtection/>
  <mergeCells count="1">
    <mergeCell ref="I2:J8"/>
  </mergeCells>
  <printOptions/>
  <pageMargins left="1.57" right="0.787401575" top="0.984251969" bottom="0.984251969" header="0.4921259845" footer="0.4921259845"/>
  <pageSetup fitToHeight="1" fitToWidth="1" horizontalDpi="600" verticalDpi="600" orientation="landscape" paperSize="9" r:id="rId1"/>
  <headerFooter alignWithMargins="0">
    <oddHeader>&amp;LWirtschaftlichkeitsrechnung
Photovoltaikanlage&amp;CAusgangsdaten Anlage mit Speicher&amp;RSiehe dazu zum Vergleich und zur Ermittlung der 
Grunddaten die Berechnung mit dem Solarrechner LANUV</oddHeader>
    <oddFooter>&amp;L&amp;9November 2021&amp;R&amp;9Seite &amp;P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25">
      <selection activeCell="N51" sqref="N51"/>
    </sheetView>
  </sheetViews>
  <sheetFormatPr defaultColWidth="11.421875" defaultRowHeight="12.75"/>
  <cols>
    <col min="1" max="1" width="6.57421875" style="0" customWidth="1"/>
    <col min="2" max="3" width="10.140625" style="0" customWidth="1"/>
    <col min="4" max="4" width="12.28125" style="0" customWidth="1"/>
    <col min="5" max="5" width="13.8515625" style="0" customWidth="1"/>
    <col min="6" max="6" width="15.00390625" style="0" customWidth="1"/>
    <col min="7" max="7" width="14.00390625" style="0" customWidth="1"/>
    <col min="9" max="9" width="17.57421875" style="0" customWidth="1"/>
    <col min="10" max="10" width="21.00390625" style="0" customWidth="1"/>
    <col min="11" max="11" width="19.8515625" style="0" customWidth="1"/>
    <col min="12" max="12" width="11.8515625" style="0" customWidth="1"/>
    <col min="13" max="13" width="9.8515625" style="0" customWidth="1"/>
    <col min="14" max="14" width="17.57421875" style="0" customWidth="1"/>
  </cols>
  <sheetData>
    <row r="1" spans="1:6" ht="20.25">
      <c r="A1" s="1"/>
      <c r="F1" s="1"/>
    </row>
    <row r="2" ht="13.5" thickBot="1"/>
    <row r="3" spans="2:14" ht="13.5" thickBot="1">
      <c r="B3" s="67" t="s">
        <v>2</v>
      </c>
      <c r="C3" s="68"/>
      <c r="D3" s="69"/>
      <c r="E3" s="73" t="s">
        <v>6</v>
      </c>
      <c r="F3" s="74"/>
      <c r="G3" s="74"/>
      <c r="H3" s="74"/>
      <c r="I3" s="75"/>
      <c r="J3" s="75"/>
      <c r="K3" s="76"/>
      <c r="L3" s="70" t="s">
        <v>17</v>
      </c>
      <c r="M3" s="71"/>
      <c r="N3" s="72"/>
    </row>
    <row r="4" spans="1:14" ht="39.75" customHeight="1">
      <c r="A4" s="84" t="s">
        <v>0</v>
      </c>
      <c r="B4" s="86" t="s">
        <v>1</v>
      </c>
      <c r="C4" s="106" t="s">
        <v>40</v>
      </c>
      <c r="D4" s="88" t="s">
        <v>18</v>
      </c>
      <c r="E4" s="86" t="s">
        <v>3</v>
      </c>
      <c r="F4" s="90" t="s">
        <v>33</v>
      </c>
      <c r="G4" s="90" t="s">
        <v>15</v>
      </c>
      <c r="H4" s="112" t="s">
        <v>4</v>
      </c>
      <c r="I4" s="81" t="s">
        <v>5</v>
      </c>
      <c r="J4" s="77" t="s">
        <v>23</v>
      </c>
      <c r="K4" s="79" t="s">
        <v>34</v>
      </c>
      <c r="L4" s="82" t="s">
        <v>16</v>
      </c>
      <c r="M4" s="108" t="s">
        <v>35</v>
      </c>
      <c r="N4" s="110" t="s">
        <v>24</v>
      </c>
    </row>
    <row r="5" spans="1:14" ht="12.75">
      <c r="A5" s="85"/>
      <c r="B5" s="87"/>
      <c r="C5" s="107"/>
      <c r="D5" s="89"/>
      <c r="E5" s="87"/>
      <c r="F5" s="91"/>
      <c r="G5" s="91"/>
      <c r="H5" s="113"/>
      <c r="I5" s="78"/>
      <c r="J5" s="78"/>
      <c r="K5" s="80"/>
      <c r="L5" s="83"/>
      <c r="M5" s="109"/>
      <c r="N5" s="89"/>
    </row>
    <row r="6" spans="1:14" ht="12.75">
      <c r="A6" s="16">
        <v>0</v>
      </c>
      <c r="B6" s="19">
        <f>Ausgangsdaten!$C$7*Ausgangsdaten!$C$11*Ausgangsdaten!C17/12*(100%-Ausgangsdaten!$C$14)</f>
        <v>18.993649500000004</v>
      </c>
      <c r="C6" s="38">
        <f>Ausgangsdaten!C13*Ausgangsdaten!C14*Ausgangsdaten!C7*Ausgangsdaten!C17/12</f>
        <v>41.6976</v>
      </c>
      <c r="D6" s="20">
        <f>(B6+C6)*19%</f>
        <v>11.531337405</v>
      </c>
      <c r="E6" s="5"/>
      <c r="F6" s="6">
        <f>Ausgangsdaten!$C$2/Ausgangsdaten!$C$16*Ausgangsdaten!C17/12</f>
        <v>147.175</v>
      </c>
      <c r="G6" s="7"/>
      <c r="H6" s="17">
        <f>Ausgangsdaten!$C$19*Ausgangsdaten!C17/12</f>
        <v>0</v>
      </c>
      <c r="I6" s="8">
        <f>Ausgangsdaten!$C$2*Ausgangsdaten!$C$21*Ausgangsdaten!C17/12</f>
        <v>58.870000000000005</v>
      </c>
      <c r="J6" s="18">
        <f>I6*0.15+Ausgangsdaten!C3</f>
        <v>2245.8905</v>
      </c>
      <c r="K6" s="9">
        <f>D6-J6</f>
        <v>-2234.359162595</v>
      </c>
      <c r="L6" s="5">
        <f>B6+C6+D6-E6-F6-G6-H6-I6-J6-K6</f>
        <v>-145.35375049999993</v>
      </c>
      <c r="M6" s="22">
        <f>Ausgangsdaten!$C$24</f>
        <v>0.35</v>
      </c>
      <c r="N6" s="26">
        <f>L6*M6</f>
        <v>-50.873812674999975</v>
      </c>
    </row>
    <row r="7" spans="1:14" ht="12.75">
      <c r="A7" s="16">
        <v>1</v>
      </c>
      <c r="B7" s="19">
        <f>Ausgangsdaten!$C$7*Ausgangsdaten!$C$11*(100%-Ausgangsdaten!$C$14)</f>
        <v>75.97459800000001</v>
      </c>
      <c r="C7" s="38">
        <f>Ausgangsdaten!$C$13*Ausgangsdaten!$C$14*Ausgangsdaten!$C$7</f>
        <v>166.7904</v>
      </c>
      <c r="D7" s="20">
        <f>(B7+C7)*19%</f>
        <v>46.12534962</v>
      </c>
      <c r="E7" s="5"/>
      <c r="F7" s="6">
        <f>Ausgangsdaten!$C$2/Ausgangsdaten!$C$16</f>
        <v>588.7</v>
      </c>
      <c r="G7" s="7"/>
      <c r="H7" s="17">
        <f>Ausgangsdaten!$C$19</f>
        <v>0</v>
      </c>
      <c r="I7" s="8">
        <f>Ausgangsdaten!$C$2*Ausgangsdaten!$C$21</f>
        <v>235.48000000000002</v>
      </c>
      <c r="J7" s="6">
        <f>I7*0.15</f>
        <v>35.322</v>
      </c>
      <c r="K7" s="9">
        <f aca="true" t="shared" si="0" ref="K7:K27">D7-J7</f>
        <v>10.803349619999999</v>
      </c>
      <c r="L7" s="5">
        <f>B7+C7+D7-E7-F7-G7-H7-I7-J7-K7</f>
        <v>-581.415002</v>
      </c>
      <c r="M7" s="22">
        <f>Ausgangsdaten!$C$24</f>
        <v>0.35</v>
      </c>
      <c r="N7" s="26">
        <f aca="true" t="shared" si="1" ref="N7:N26">L7*M7</f>
        <v>-203.49525069999999</v>
      </c>
    </row>
    <row r="8" spans="1:14" ht="12.75">
      <c r="A8" s="16">
        <v>2</v>
      </c>
      <c r="B8" s="19">
        <f>Ausgangsdaten!$C$7*Ausgangsdaten!$C$11*(100%-Ausgangsdaten!$C$14)</f>
        <v>75.97459800000001</v>
      </c>
      <c r="C8" s="38">
        <f>Ausgangsdaten!$C$13*Ausgangsdaten!$C$14*Ausgangsdaten!$C$7</f>
        <v>166.7904</v>
      </c>
      <c r="D8" s="20">
        <f>(B8+C8)*19%</f>
        <v>46.12534962</v>
      </c>
      <c r="E8" s="5"/>
      <c r="F8" s="6">
        <f>Ausgangsdaten!$C$2/Ausgangsdaten!$C$16</f>
        <v>588.7</v>
      </c>
      <c r="G8" s="7"/>
      <c r="H8" s="8">
        <f>Ausgangsdaten!$C$19</f>
        <v>0</v>
      </c>
      <c r="I8" s="8">
        <f>Ausgangsdaten!$C$2*Ausgangsdaten!$C$21</f>
        <v>235.48000000000002</v>
      </c>
      <c r="J8" s="6">
        <f>I8*0.15</f>
        <v>35.322</v>
      </c>
      <c r="K8" s="9">
        <f t="shared" si="0"/>
        <v>10.803349619999999</v>
      </c>
      <c r="L8" s="5">
        <f>B8+C8+D8-E8-F8-G8-H8-I8-J8-K8</f>
        <v>-581.415002</v>
      </c>
      <c r="M8" s="23">
        <f>Ausgangsdaten!$C$24</f>
        <v>0.35</v>
      </c>
      <c r="N8" s="26">
        <f t="shared" si="1"/>
        <v>-203.49525069999999</v>
      </c>
    </row>
    <row r="9" spans="1:14" ht="12.75">
      <c r="A9" s="16">
        <v>3</v>
      </c>
      <c r="B9" s="19">
        <f>Ausgangsdaten!$C$7*Ausgangsdaten!$C$11*(100%-Ausgangsdaten!$C$14)</f>
        <v>75.97459800000001</v>
      </c>
      <c r="C9" s="38">
        <f>Ausgangsdaten!$C$13*Ausgangsdaten!$C$14*Ausgangsdaten!$C$7</f>
        <v>166.7904</v>
      </c>
      <c r="D9" s="20">
        <f aca="true" t="shared" si="2" ref="D9:D26">(B9+C9)*19%</f>
        <v>46.12534962</v>
      </c>
      <c r="E9" s="5"/>
      <c r="F9" s="6">
        <f>Ausgangsdaten!$C$2/Ausgangsdaten!$C$16</f>
        <v>588.7</v>
      </c>
      <c r="G9" s="7"/>
      <c r="H9" s="8">
        <f>Ausgangsdaten!$C$19</f>
        <v>0</v>
      </c>
      <c r="I9" s="8">
        <f>Ausgangsdaten!$C$2*Ausgangsdaten!$C$21</f>
        <v>235.48000000000002</v>
      </c>
      <c r="J9" s="6">
        <f aca="true" t="shared" si="3" ref="J9:J26">I9*0.15</f>
        <v>35.322</v>
      </c>
      <c r="K9" s="9">
        <f t="shared" si="0"/>
        <v>10.803349619999999</v>
      </c>
      <c r="L9" s="5">
        <f aca="true" t="shared" si="4" ref="L9:L26">B9+C9+D9-E9-F9-G9-H9-I9-J9-K9</f>
        <v>-581.415002</v>
      </c>
      <c r="M9" s="23">
        <f>Ausgangsdaten!$C$24</f>
        <v>0.35</v>
      </c>
      <c r="N9" s="26">
        <f t="shared" si="1"/>
        <v>-203.49525069999999</v>
      </c>
    </row>
    <row r="10" spans="1:14" ht="12.75">
      <c r="A10" s="16">
        <v>4</v>
      </c>
      <c r="B10" s="19">
        <f>Ausgangsdaten!$C$7*Ausgangsdaten!$C$11*(100%-Ausgangsdaten!$C$14)</f>
        <v>75.97459800000001</v>
      </c>
      <c r="C10" s="38">
        <f>Ausgangsdaten!$C$13*Ausgangsdaten!$C$14*Ausgangsdaten!$C$7</f>
        <v>166.7904</v>
      </c>
      <c r="D10" s="20">
        <f t="shared" si="2"/>
        <v>46.12534962</v>
      </c>
      <c r="E10" s="5"/>
      <c r="F10" s="6">
        <f>Ausgangsdaten!$C$2/Ausgangsdaten!$C$16</f>
        <v>588.7</v>
      </c>
      <c r="G10" s="7"/>
      <c r="H10" s="8">
        <f>Ausgangsdaten!$C$19</f>
        <v>0</v>
      </c>
      <c r="I10" s="8">
        <f>Ausgangsdaten!$C$2*Ausgangsdaten!$C$21</f>
        <v>235.48000000000002</v>
      </c>
      <c r="J10" s="6">
        <f t="shared" si="3"/>
        <v>35.322</v>
      </c>
      <c r="K10" s="9">
        <f t="shared" si="0"/>
        <v>10.803349619999999</v>
      </c>
      <c r="L10" s="5">
        <f t="shared" si="4"/>
        <v>-581.415002</v>
      </c>
      <c r="M10" s="23">
        <f>Ausgangsdaten!$C$24</f>
        <v>0.35</v>
      </c>
      <c r="N10" s="26">
        <f t="shared" si="1"/>
        <v>-203.49525069999999</v>
      </c>
    </row>
    <row r="11" spans="1:14" ht="12.75">
      <c r="A11" s="16">
        <v>5</v>
      </c>
      <c r="B11" s="19">
        <f>Ausgangsdaten!$C$7*Ausgangsdaten!$C$11*(100%-Ausgangsdaten!$C$14)</f>
        <v>75.97459800000001</v>
      </c>
      <c r="C11" s="38">
        <f>Ausgangsdaten!$C$13*Ausgangsdaten!$C$14*Ausgangsdaten!$C$7</f>
        <v>166.7904</v>
      </c>
      <c r="D11" s="20">
        <f t="shared" si="2"/>
        <v>46.12534962</v>
      </c>
      <c r="E11" s="5"/>
      <c r="F11" s="6">
        <f>Ausgangsdaten!$C$2/Ausgangsdaten!$C$16</f>
        <v>588.7</v>
      </c>
      <c r="G11" s="7"/>
      <c r="H11" s="8">
        <f>Ausgangsdaten!$C$19</f>
        <v>0</v>
      </c>
      <c r="I11" s="8">
        <f>Ausgangsdaten!$C$2*Ausgangsdaten!$C$21</f>
        <v>235.48000000000002</v>
      </c>
      <c r="J11" s="6">
        <f t="shared" si="3"/>
        <v>35.322</v>
      </c>
      <c r="K11" s="9">
        <f t="shared" si="0"/>
        <v>10.803349619999999</v>
      </c>
      <c r="L11" s="5">
        <f t="shared" si="4"/>
        <v>-581.415002</v>
      </c>
      <c r="M11" s="23">
        <f>Ausgangsdaten!$C$24</f>
        <v>0.35</v>
      </c>
      <c r="N11" s="26">
        <f t="shared" si="1"/>
        <v>-203.49525069999999</v>
      </c>
    </row>
    <row r="12" spans="1:14" ht="12.75">
      <c r="A12" s="16">
        <v>6</v>
      </c>
      <c r="B12" s="19">
        <f>Ausgangsdaten!$C$7*Ausgangsdaten!$C$11*(100%-Ausgangsdaten!$C$14)</f>
        <v>75.97459800000001</v>
      </c>
      <c r="C12" s="38">
        <f>Ausgangsdaten!$C$13*Ausgangsdaten!$C$14*Ausgangsdaten!$C$7</f>
        <v>166.7904</v>
      </c>
      <c r="D12" s="20">
        <f t="shared" si="2"/>
        <v>46.12534962</v>
      </c>
      <c r="E12" s="5"/>
      <c r="F12" s="6">
        <f>Ausgangsdaten!$C$2/Ausgangsdaten!$C$16</f>
        <v>588.7</v>
      </c>
      <c r="G12" s="7"/>
      <c r="H12" s="8">
        <f>Ausgangsdaten!$C$19</f>
        <v>0</v>
      </c>
      <c r="I12" s="8">
        <f>Ausgangsdaten!$C$2*Ausgangsdaten!$C$21</f>
        <v>235.48000000000002</v>
      </c>
      <c r="J12" s="6">
        <f t="shared" si="3"/>
        <v>35.322</v>
      </c>
      <c r="K12" s="9">
        <f t="shared" si="0"/>
        <v>10.803349619999999</v>
      </c>
      <c r="L12" s="5">
        <f t="shared" si="4"/>
        <v>-581.415002</v>
      </c>
      <c r="M12" s="23">
        <f>Ausgangsdaten!$C$24</f>
        <v>0.35</v>
      </c>
      <c r="N12" s="26">
        <f t="shared" si="1"/>
        <v>-203.49525069999999</v>
      </c>
    </row>
    <row r="13" spans="1:14" ht="12.75">
      <c r="A13" s="16">
        <v>7</v>
      </c>
      <c r="B13" s="19">
        <f>Ausgangsdaten!$C$7*Ausgangsdaten!$C$11*(100%-Ausgangsdaten!$C$14)</f>
        <v>75.97459800000001</v>
      </c>
      <c r="C13" s="38">
        <f>Ausgangsdaten!$C$13*Ausgangsdaten!$C$14*Ausgangsdaten!$C$7</f>
        <v>166.7904</v>
      </c>
      <c r="D13" s="20">
        <f t="shared" si="2"/>
        <v>46.12534962</v>
      </c>
      <c r="E13" s="5"/>
      <c r="F13" s="6">
        <f>Ausgangsdaten!$C$2/Ausgangsdaten!$C$16</f>
        <v>588.7</v>
      </c>
      <c r="G13" s="7"/>
      <c r="H13" s="8">
        <f>Ausgangsdaten!$C$19</f>
        <v>0</v>
      </c>
      <c r="I13" s="8">
        <f>Ausgangsdaten!$C$2*Ausgangsdaten!$C$21</f>
        <v>235.48000000000002</v>
      </c>
      <c r="J13" s="6">
        <f t="shared" si="3"/>
        <v>35.322</v>
      </c>
      <c r="K13" s="9">
        <f t="shared" si="0"/>
        <v>10.803349619999999</v>
      </c>
      <c r="L13" s="5">
        <f t="shared" si="4"/>
        <v>-581.415002</v>
      </c>
      <c r="M13" s="23">
        <f>Ausgangsdaten!$C$24</f>
        <v>0.35</v>
      </c>
      <c r="N13" s="26">
        <f t="shared" si="1"/>
        <v>-203.49525069999999</v>
      </c>
    </row>
    <row r="14" spans="1:14" ht="12.75">
      <c r="A14" s="16">
        <v>8</v>
      </c>
      <c r="B14" s="19">
        <f>Ausgangsdaten!$C$7*Ausgangsdaten!$C$11*(100%-Ausgangsdaten!$C$14)</f>
        <v>75.97459800000001</v>
      </c>
      <c r="C14" s="38">
        <f>Ausgangsdaten!$C$13*Ausgangsdaten!$C$14*Ausgangsdaten!$C$7</f>
        <v>166.7904</v>
      </c>
      <c r="D14" s="20">
        <f t="shared" si="2"/>
        <v>46.12534962</v>
      </c>
      <c r="E14" s="5"/>
      <c r="F14" s="6">
        <f>Ausgangsdaten!$C$2/Ausgangsdaten!$C$16</f>
        <v>588.7</v>
      </c>
      <c r="G14" s="7"/>
      <c r="H14" s="8">
        <f>Ausgangsdaten!$C$19</f>
        <v>0</v>
      </c>
      <c r="I14" s="8">
        <f>Ausgangsdaten!$C$2*Ausgangsdaten!$C$21</f>
        <v>235.48000000000002</v>
      </c>
      <c r="J14" s="6">
        <f t="shared" si="3"/>
        <v>35.322</v>
      </c>
      <c r="K14" s="9">
        <f t="shared" si="0"/>
        <v>10.803349619999999</v>
      </c>
      <c r="L14" s="5">
        <f t="shared" si="4"/>
        <v>-581.415002</v>
      </c>
      <c r="M14" s="23">
        <f>Ausgangsdaten!$C$24</f>
        <v>0.35</v>
      </c>
      <c r="N14" s="26">
        <f t="shared" si="1"/>
        <v>-203.49525069999999</v>
      </c>
    </row>
    <row r="15" spans="1:14" ht="12.75">
      <c r="A15" s="16">
        <v>9</v>
      </c>
      <c r="B15" s="19">
        <f>Ausgangsdaten!$C$7*Ausgangsdaten!$C$11*(100%-Ausgangsdaten!$C$14)</f>
        <v>75.97459800000001</v>
      </c>
      <c r="C15" s="38">
        <f>Ausgangsdaten!$C$13*Ausgangsdaten!$C$14*Ausgangsdaten!$C$7</f>
        <v>166.7904</v>
      </c>
      <c r="D15" s="20">
        <f t="shared" si="2"/>
        <v>46.12534962</v>
      </c>
      <c r="E15" s="5"/>
      <c r="F15" s="6">
        <f>Ausgangsdaten!$C$2/Ausgangsdaten!$C$16</f>
        <v>588.7</v>
      </c>
      <c r="G15" s="7"/>
      <c r="H15" s="8">
        <f>Ausgangsdaten!$C$19</f>
        <v>0</v>
      </c>
      <c r="I15" s="8">
        <f>Ausgangsdaten!$C$2*Ausgangsdaten!$C$21</f>
        <v>235.48000000000002</v>
      </c>
      <c r="J15" s="6">
        <f t="shared" si="3"/>
        <v>35.322</v>
      </c>
      <c r="K15" s="9">
        <f t="shared" si="0"/>
        <v>10.803349619999999</v>
      </c>
      <c r="L15" s="5">
        <f t="shared" si="4"/>
        <v>-581.415002</v>
      </c>
      <c r="M15" s="23">
        <f>Ausgangsdaten!$C$24</f>
        <v>0.35</v>
      </c>
      <c r="N15" s="26">
        <f t="shared" si="1"/>
        <v>-203.49525069999999</v>
      </c>
    </row>
    <row r="16" spans="1:14" ht="12.75">
      <c r="A16" s="16">
        <v>10</v>
      </c>
      <c r="B16" s="19">
        <f>Ausgangsdaten!$C$7*Ausgangsdaten!$C$11*(100%-Ausgangsdaten!$C$14)</f>
        <v>75.97459800000001</v>
      </c>
      <c r="C16" s="38">
        <f>Ausgangsdaten!$C$13*Ausgangsdaten!$C$14*Ausgangsdaten!$C$7</f>
        <v>166.7904</v>
      </c>
      <c r="D16" s="20">
        <f t="shared" si="2"/>
        <v>46.12534962</v>
      </c>
      <c r="E16" s="5"/>
      <c r="F16" s="6">
        <f>Ausgangsdaten!$C$2/Ausgangsdaten!$C$16</f>
        <v>588.7</v>
      </c>
      <c r="G16" s="7"/>
      <c r="H16" s="8">
        <f>Ausgangsdaten!$C$19</f>
        <v>0</v>
      </c>
      <c r="I16" s="8">
        <f>Ausgangsdaten!$C$2*Ausgangsdaten!$C$21</f>
        <v>235.48000000000002</v>
      </c>
      <c r="J16" s="6">
        <f t="shared" si="3"/>
        <v>35.322</v>
      </c>
      <c r="K16" s="9">
        <f t="shared" si="0"/>
        <v>10.803349619999999</v>
      </c>
      <c r="L16" s="5">
        <f t="shared" si="4"/>
        <v>-581.415002</v>
      </c>
      <c r="M16" s="23">
        <f>Ausgangsdaten!$C$24</f>
        <v>0.35</v>
      </c>
      <c r="N16" s="26">
        <f t="shared" si="1"/>
        <v>-203.49525069999999</v>
      </c>
    </row>
    <row r="17" spans="1:14" ht="12.75">
      <c r="A17" s="16">
        <v>11</v>
      </c>
      <c r="B17" s="19">
        <f>Ausgangsdaten!$C$7*Ausgangsdaten!$C$11*(100%-Ausgangsdaten!$C$14)</f>
        <v>75.97459800000001</v>
      </c>
      <c r="C17" s="38">
        <f>Ausgangsdaten!$C$13*Ausgangsdaten!$C$14*Ausgangsdaten!$C$7</f>
        <v>166.7904</v>
      </c>
      <c r="D17" s="20">
        <f t="shared" si="2"/>
        <v>46.12534962</v>
      </c>
      <c r="E17" s="5"/>
      <c r="F17" s="6">
        <f>Ausgangsdaten!$C$2/Ausgangsdaten!$C$16</f>
        <v>588.7</v>
      </c>
      <c r="G17" s="7"/>
      <c r="H17" s="8">
        <f>Ausgangsdaten!$C$19</f>
        <v>0</v>
      </c>
      <c r="I17" s="8">
        <f>Ausgangsdaten!$C$2*Ausgangsdaten!$C$21</f>
        <v>235.48000000000002</v>
      </c>
      <c r="J17" s="6">
        <f t="shared" si="3"/>
        <v>35.322</v>
      </c>
      <c r="K17" s="9">
        <f t="shared" si="0"/>
        <v>10.803349619999999</v>
      </c>
      <c r="L17" s="5">
        <f t="shared" si="4"/>
        <v>-581.415002</v>
      </c>
      <c r="M17" s="23">
        <f>Ausgangsdaten!$C$24</f>
        <v>0.35</v>
      </c>
      <c r="N17" s="26">
        <f t="shared" si="1"/>
        <v>-203.49525069999999</v>
      </c>
    </row>
    <row r="18" spans="1:14" ht="12.75">
      <c r="A18" s="16">
        <v>12</v>
      </c>
      <c r="B18" s="19">
        <f>Ausgangsdaten!$C$7*Ausgangsdaten!$C$11*(100%-Ausgangsdaten!$C$14)</f>
        <v>75.97459800000001</v>
      </c>
      <c r="C18" s="38">
        <f>Ausgangsdaten!$C$13*Ausgangsdaten!$C$14*Ausgangsdaten!$C$7</f>
        <v>166.7904</v>
      </c>
      <c r="D18" s="20">
        <f t="shared" si="2"/>
        <v>46.12534962</v>
      </c>
      <c r="E18" s="5"/>
      <c r="F18" s="6">
        <f>Ausgangsdaten!$C$2/Ausgangsdaten!$C$16</f>
        <v>588.7</v>
      </c>
      <c r="G18" s="7"/>
      <c r="H18" s="8">
        <f>Ausgangsdaten!$C$19</f>
        <v>0</v>
      </c>
      <c r="I18" s="8">
        <f>Ausgangsdaten!$C$2*Ausgangsdaten!$C$21</f>
        <v>235.48000000000002</v>
      </c>
      <c r="J18" s="6">
        <f t="shared" si="3"/>
        <v>35.322</v>
      </c>
      <c r="K18" s="9">
        <f t="shared" si="0"/>
        <v>10.803349619999999</v>
      </c>
      <c r="L18" s="5">
        <f t="shared" si="4"/>
        <v>-581.415002</v>
      </c>
      <c r="M18" s="23">
        <f>Ausgangsdaten!$C$24</f>
        <v>0.35</v>
      </c>
      <c r="N18" s="26">
        <f t="shared" si="1"/>
        <v>-203.49525069999999</v>
      </c>
    </row>
    <row r="19" spans="1:14" ht="12.75">
      <c r="A19" s="16">
        <v>13</v>
      </c>
      <c r="B19" s="19">
        <f>Ausgangsdaten!$C$7*Ausgangsdaten!$C$11*(100%-Ausgangsdaten!$C$14)</f>
        <v>75.97459800000001</v>
      </c>
      <c r="C19" s="38">
        <f>Ausgangsdaten!$C$13*Ausgangsdaten!$C$14*Ausgangsdaten!$C$7</f>
        <v>166.7904</v>
      </c>
      <c r="D19" s="20">
        <f t="shared" si="2"/>
        <v>46.12534962</v>
      </c>
      <c r="E19" s="5"/>
      <c r="F19" s="6">
        <f>Ausgangsdaten!$C$2/Ausgangsdaten!$C$16</f>
        <v>588.7</v>
      </c>
      <c r="G19" s="7"/>
      <c r="H19" s="8">
        <f>Ausgangsdaten!$C$19</f>
        <v>0</v>
      </c>
      <c r="I19" s="8">
        <f>Ausgangsdaten!$C$2*Ausgangsdaten!$C$21</f>
        <v>235.48000000000002</v>
      </c>
      <c r="J19" s="6">
        <f t="shared" si="3"/>
        <v>35.322</v>
      </c>
      <c r="K19" s="9">
        <f t="shared" si="0"/>
        <v>10.803349619999999</v>
      </c>
      <c r="L19" s="5">
        <f t="shared" si="4"/>
        <v>-581.415002</v>
      </c>
      <c r="M19" s="23">
        <f>Ausgangsdaten!$C$24</f>
        <v>0.35</v>
      </c>
      <c r="N19" s="26">
        <f t="shared" si="1"/>
        <v>-203.49525069999999</v>
      </c>
    </row>
    <row r="20" spans="1:14" ht="12.75">
      <c r="A20" s="16">
        <v>14</v>
      </c>
      <c r="B20" s="19">
        <f>Ausgangsdaten!$C$7*Ausgangsdaten!$C$11*(100%-Ausgangsdaten!$C$14)</f>
        <v>75.97459800000001</v>
      </c>
      <c r="C20" s="38">
        <f>Ausgangsdaten!$C$13*Ausgangsdaten!$C$14*Ausgangsdaten!$C$7</f>
        <v>166.7904</v>
      </c>
      <c r="D20" s="20">
        <f t="shared" si="2"/>
        <v>46.12534962</v>
      </c>
      <c r="E20" s="5"/>
      <c r="F20" s="6">
        <f>Ausgangsdaten!$C$2/Ausgangsdaten!$C$16</f>
        <v>588.7</v>
      </c>
      <c r="G20" s="7"/>
      <c r="H20" s="8">
        <f>Ausgangsdaten!$C$19</f>
        <v>0</v>
      </c>
      <c r="I20" s="8">
        <f>Ausgangsdaten!$C$2*Ausgangsdaten!$C$21</f>
        <v>235.48000000000002</v>
      </c>
      <c r="J20" s="6">
        <f t="shared" si="3"/>
        <v>35.322</v>
      </c>
      <c r="K20" s="9">
        <f t="shared" si="0"/>
        <v>10.803349619999999</v>
      </c>
      <c r="L20" s="5">
        <f t="shared" si="4"/>
        <v>-581.415002</v>
      </c>
      <c r="M20" s="23">
        <f>Ausgangsdaten!$C$24</f>
        <v>0.35</v>
      </c>
      <c r="N20" s="26">
        <f t="shared" si="1"/>
        <v>-203.49525069999999</v>
      </c>
    </row>
    <row r="21" spans="1:14" ht="12.75">
      <c r="A21" s="16">
        <v>15</v>
      </c>
      <c r="B21" s="19">
        <f>Ausgangsdaten!$C$7*Ausgangsdaten!$C$11*(100%-Ausgangsdaten!$C$14)</f>
        <v>75.97459800000001</v>
      </c>
      <c r="C21" s="38">
        <f>Ausgangsdaten!$C$13*Ausgangsdaten!$C$14*Ausgangsdaten!$C$7</f>
        <v>166.7904</v>
      </c>
      <c r="D21" s="20">
        <f t="shared" si="2"/>
        <v>46.12534962</v>
      </c>
      <c r="E21" s="5"/>
      <c r="F21" s="6">
        <f>Ausgangsdaten!$C$2/Ausgangsdaten!$C$16</f>
        <v>588.7</v>
      </c>
      <c r="G21" s="7"/>
      <c r="H21" s="8">
        <f>Ausgangsdaten!$C$19</f>
        <v>0</v>
      </c>
      <c r="I21" s="8">
        <f>Ausgangsdaten!$C$2*Ausgangsdaten!$C$21</f>
        <v>235.48000000000002</v>
      </c>
      <c r="J21" s="6">
        <f t="shared" si="3"/>
        <v>35.322</v>
      </c>
      <c r="K21" s="9">
        <f t="shared" si="0"/>
        <v>10.803349619999999</v>
      </c>
      <c r="L21" s="5">
        <f t="shared" si="4"/>
        <v>-581.415002</v>
      </c>
      <c r="M21" s="23">
        <f>Ausgangsdaten!$C$24</f>
        <v>0.35</v>
      </c>
      <c r="N21" s="26">
        <f t="shared" si="1"/>
        <v>-203.49525069999999</v>
      </c>
    </row>
    <row r="22" spans="1:14" ht="12.75">
      <c r="A22" s="16">
        <v>16</v>
      </c>
      <c r="B22" s="19">
        <f>Ausgangsdaten!$C$7*Ausgangsdaten!$C$11*(100%-Ausgangsdaten!$C$14)</f>
        <v>75.97459800000001</v>
      </c>
      <c r="C22" s="38">
        <f>Ausgangsdaten!$C$13*Ausgangsdaten!$C$14*Ausgangsdaten!$C$7</f>
        <v>166.7904</v>
      </c>
      <c r="D22" s="20">
        <f t="shared" si="2"/>
        <v>46.12534962</v>
      </c>
      <c r="E22" s="5"/>
      <c r="F22" s="6">
        <f>Ausgangsdaten!$C$2/Ausgangsdaten!$C$16</f>
        <v>588.7</v>
      </c>
      <c r="G22" s="7"/>
      <c r="H22" s="8">
        <f>Ausgangsdaten!$C$19</f>
        <v>0</v>
      </c>
      <c r="I22" s="8">
        <f>Ausgangsdaten!$C$2*Ausgangsdaten!$C$21</f>
        <v>235.48000000000002</v>
      </c>
      <c r="J22" s="6">
        <f t="shared" si="3"/>
        <v>35.322</v>
      </c>
      <c r="K22" s="9">
        <f t="shared" si="0"/>
        <v>10.803349619999999</v>
      </c>
      <c r="L22" s="5">
        <f t="shared" si="4"/>
        <v>-581.415002</v>
      </c>
      <c r="M22" s="23">
        <f>Ausgangsdaten!$C$24</f>
        <v>0.35</v>
      </c>
      <c r="N22" s="26">
        <f t="shared" si="1"/>
        <v>-203.49525069999999</v>
      </c>
    </row>
    <row r="23" spans="1:14" ht="12.75">
      <c r="A23" s="16">
        <v>17</v>
      </c>
      <c r="B23" s="19">
        <f>Ausgangsdaten!$C$7*Ausgangsdaten!$C$11*(100%-Ausgangsdaten!$C$14)</f>
        <v>75.97459800000001</v>
      </c>
      <c r="C23" s="38">
        <f>Ausgangsdaten!$C$13*Ausgangsdaten!$C$14*Ausgangsdaten!$C$7</f>
        <v>166.7904</v>
      </c>
      <c r="D23" s="20">
        <f t="shared" si="2"/>
        <v>46.12534962</v>
      </c>
      <c r="E23" s="5"/>
      <c r="F23" s="6">
        <f>Ausgangsdaten!$C$2/Ausgangsdaten!$C$16</f>
        <v>588.7</v>
      </c>
      <c r="G23" s="7"/>
      <c r="H23" s="8">
        <f>Ausgangsdaten!$C$19</f>
        <v>0</v>
      </c>
      <c r="I23" s="8">
        <f>Ausgangsdaten!$C$2*Ausgangsdaten!$C$21</f>
        <v>235.48000000000002</v>
      </c>
      <c r="J23" s="6">
        <f t="shared" si="3"/>
        <v>35.322</v>
      </c>
      <c r="K23" s="9">
        <f t="shared" si="0"/>
        <v>10.803349619999999</v>
      </c>
      <c r="L23" s="5">
        <f t="shared" si="4"/>
        <v>-581.415002</v>
      </c>
      <c r="M23" s="23">
        <f>Ausgangsdaten!$C$24</f>
        <v>0.35</v>
      </c>
      <c r="N23" s="26">
        <f t="shared" si="1"/>
        <v>-203.49525069999999</v>
      </c>
    </row>
    <row r="24" spans="1:14" ht="12.75">
      <c r="A24" s="16">
        <v>18</v>
      </c>
      <c r="B24" s="19">
        <f>Ausgangsdaten!$C$7*Ausgangsdaten!$C$11*(100%-Ausgangsdaten!$C$14)</f>
        <v>75.97459800000001</v>
      </c>
      <c r="C24" s="38">
        <f>Ausgangsdaten!$C$13*Ausgangsdaten!$C$14*Ausgangsdaten!$C$7</f>
        <v>166.7904</v>
      </c>
      <c r="D24" s="20">
        <f t="shared" si="2"/>
        <v>46.12534962</v>
      </c>
      <c r="E24" s="5"/>
      <c r="F24" s="6">
        <f>Ausgangsdaten!$C$2/Ausgangsdaten!$C$16</f>
        <v>588.7</v>
      </c>
      <c r="G24" s="7"/>
      <c r="H24" s="8">
        <f>Ausgangsdaten!$C$19</f>
        <v>0</v>
      </c>
      <c r="I24" s="8">
        <f>Ausgangsdaten!$C$2*Ausgangsdaten!$C$21</f>
        <v>235.48000000000002</v>
      </c>
      <c r="J24" s="6">
        <f t="shared" si="3"/>
        <v>35.322</v>
      </c>
      <c r="K24" s="9">
        <f t="shared" si="0"/>
        <v>10.803349619999999</v>
      </c>
      <c r="L24" s="5">
        <f t="shared" si="4"/>
        <v>-581.415002</v>
      </c>
      <c r="M24" s="23">
        <f>Ausgangsdaten!$C$24</f>
        <v>0.35</v>
      </c>
      <c r="N24" s="26">
        <f t="shared" si="1"/>
        <v>-203.49525069999999</v>
      </c>
    </row>
    <row r="25" spans="1:14" ht="12.75">
      <c r="A25" s="16">
        <v>19</v>
      </c>
      <c r="B25" s="19">
        <f>Ausgangsdaten!$C$7*Ausgangsdaten!$C$11*(100%-Ausgangsdaten!$C$14)</f>
        <v>75.97459800000001</v>
      </c>
      <c r="C25" s="38">
        <f>Ausgangsdaten!$C$13*Ausgangsdaten!$C$14*Ausgangsdaten!$C$7</f>
        <v>166.7904</v>
      </c>
      <c r="D25" s="20">
        <f t="shared" si="2"/>
        <v>46.12534962</v>
      </c>
      <c r="E25" s="5"/>
      <c r="F25" s="6">
        <f>Ausgangsdaten!$C$2/Ausgangsdaten!$C$16</f>
        <v>588.7</v>
      </c>
      <c r="G25" s="7"/>
      <c r="H25" s="8">
        <f>Ausgangsdaten!$C$19</f>
        <v>0</v>
      </c>
      <c r="I25" s="8">
        <f>Ausgangsdaten!$C$2*Ausgangsdaten!$C$21</f>
        <v>235.48000000000002</v>
      </c>
      <c r="J25" s="6">
        <f t="shared" si="3"/>
        <v>35.322</v>
      </c>
      <c r="K25" s="9">
        <f t="shared" si="0"/>
        <v>10.803349619999999</v>
      </c>
      <c r="L25" s="5">
        <f t="shared" si="4"/>
        <v>-581.415002</v>
      </c>
      <c r="M25" s="23">
        <f>Ausgangsdaten!$C$24</f>
        <v>0.35</v>
      </c>
      <c r="N25" s="26">
        <f t="shared" si="1"/>
        <v>-203.49525069999999</v>
      </c>
    </row>
    <row r="26" spans="1:14" ht="13.5" thickBot="1">
      <c r="A26" s="21">
        <v>20</v>
      </c>
      <c r="B26" s="40">
        <f>Ausgangsdaten!$C$7*Ausgangsdaten!$C$11*(100%-Ausgangsdaten!$C$14)</f>
        <v>75.97459800000001</v>
      </c>
      <c r="C26" s="41">
        <f>Ausgangsdaten!$C$13*Ausgangsdaten!$C$14*Ausgangsdaten!$C$7</f>
        <v>166.7904</v>
      </c>
      <c r="D26" s="42">
        <f t="shared" si="2"/>
        <v>46.12534962</v>
      </c>
      <c r="E26" s="10"/>
      <c r="F26" s="11">
        <f>Ausgangsdaten!$C$2/Ausgangsdaten!$C$16*(12-Ausgangsdaten!C17)/12</f>
        <v>441.52500000000003</v>
      </c>
      <c r="G26" s="12"/>
      <c r="H26" s="13">
        <f>Ausgangsdaten!$C$19</f>
        <v>0</v>
      </c>
      <c r="I26" s="13">
        <f>Ausgangsdaten!$C$2*Ausgangsdaten!$C$21</f>
        <v>235.48000000000002</v>
      </c>
      <c r="J26" s="11">
        <f t="shared" si="3"/>
        <v>35.322</v>
      </c>
      <c r="K26" s="14">
        <f t="shared" si="0"/>
        <v>10.803349619999999</v>
      </c>
      <c r="L26" s="45">
        <f t="shared" si="4"/>
        <v>-434.24000200000006</v>
      </c>
      <c r="M26" s="24">
        <f>Ausgangsdaten!$C$24</f>
        <v>0.35</v>
      </c>
      <c r="N26" s="27">
        <f t="shared" si="1"/>
        <v>-151.98400070000002</v>
      </c>
    </row>
    <row r="27" spans="2:14" ht="12.75">
      <c r="B27" s="25">
        <f>SUM(B6:B26)</f>
        <v>1538.4856095000002</v>
      </c>
      <c r="C27" s="25">
        <f>SUM(C6:C26)</f>
        <v>3377.5055999999995</v>
      </c>
      <c r="D27" s="34">
        <f>SUM(D6:D26)</f>
        <v>934.0383298049996</v>
      </c>
      <c r="E27" s="35"/>
      <c r="F27" s="36">
        <f>SUM(F6:F26)</f>
        <v>11774.000000000002</v>
      </c>
      <c r="G27" s="35"/>
      <c r="H27" s="35"/>
      <c r="I27" s="36">
        <f>SUM(I6:I26)</f>
        <v>4768.469999999999</v>
      </c>
      <c r="J27" s="36">
        <f>SUM(J6:J26)</f>
        <v>2952.3305000000023</v>
      </c>
      <c r="K27" s="37">
        <f t="shared" si="0"/>
        <v>-2018.2921701950027</v>
      </c>
      <c r="L27" s="25">
        <f>SUM(L6:L26)</f>
        <v>-11626.478790499998</v>
      </c>
      <c r="N27" s="25">
        <f>SUM(N6:N26)</f>
        <v>-4069.267576674998</v>
      </c>
    </row>
    <row r="28" spans="4:11" ht="17.25" customHeight="1" thickBot="1">
      <c r="D28" s="92"/>
      <c r="E28" s="111"/>
      <c r="F28" s="111"/>
      <c r="G28" s="111"/>
      <c r="H28" s="111"/>
      <c r="I28" s="111"/>
      <c r="J28" s="111"/>
      <c r="K28" s="111"/>
    </row>
    <row r="29" spans="1:14" ht="13.5" customHeight="1">
      <c r="A29" s="44" t="s">
        <v>44</v>
      </c>
      <c r="B29" s="25">
        <f>B27*19%</f>
        <v>292.31226580500004</v>
      </c>
      <c r="C29" s="25">
        <f>C27*19%</f>
        <v>641.726064</v>
      </c>
      <c r="E29" s="2"/>
      <c r="F29" s="2"/>
      <c r="G29" s="2"/>
      <c r="H29" s="7"/>
      <c r="I29" s="2"/>
      <c r="J29" s="2"/>
      <c r="K29" s="2"/>
      <c r="L29" s="94" t="s">
        <v>56</v>
      </c>
      <c r="M29" s="95"/>
      <c r="N29" s="96"/>
    </row>
    <row r="30" spans="12:14" ht="13.5" customHeight="1" thickBot="1">
      <c r="L30" s="97"/>
      <c r="M30" s="98"/>
      <c r="N30" s="99"/>
    </row>
    <row r="31" spans="4:14" ht="13.5" thickBot="1">
      <c r="D31" t="s">
        <v>42</v>
      </c>
      <c r="I31" s="25">
        <f>K27</f>
        <v>-2018.2921701950027</v>
      </c>
      <c r="J31" s="103" t="s">
        <v>54</v>
      </c>
      <c r="L31" s="100"/>
      <c r="M31" s="101"/>
      <c r="N31" s="102"/>
    </row>
    <row r="32" spans="4:10" ht="12.75">
      <c r="D32" s="39" t="s">
        <v>43</v>
      </c>
      <c r="I32" s="43">
        <f>C29</f>
        <v>641.726064</v>
      </c>
      <c r="J32" s="104"/>
    </row>
    <row r="33" spans="4:13" ht="12.75">
      <c r="D33" s="39" t="s">
        <v>45</v>
      </c>
      <c r="I33" s="25">
        <f>I31-I32</f>
        <v>-2660.0182341950026</v>
      </c>
      <c r="J33" s="104"/>
      <c r="L33" s="25">
        <f>L27</f>
        <v>-11626.478790499998</v>
      </c>
      <c r="M33" s="39" t="s">
        <v>71</v>
      </c>
    </row>
    <row r="34" spans="4:13" ht="12.75">
      <c r="D34" t="s">
        <v>46</v>
      </c>
      <c r="J34" s="104"/>
      <c r="L34" s="25">
        <f>-(C27+D27)</f>
        <v>-4311.543929804999</v>
      </c>
      <c r="M34" s="39" t="s">
        <v>72</v>
      </c>
    </row>
    <row r="35" spans="4:13" ht="12.75">
      <c r="D35" s="39" t="s">
        <v>47</v>
      </c>
      <c r="J35" s="104"/>
      <c r="L35" s="52">
        <f>SUM(L33:L34)</f>
        <v>-15938.022720304996</v>
      </c>
      <c r="M35" s="39" t="s">
        <v>73</v>
      </c>
    </row>
    <row r="36" spans="4:13" ht="12.75">
      <c r="D36" s="39" t="s">
        <v>48</v>
      </c>
      <c r="J36" s="104"/>
      <c r="L36" s="50">
        <f>E49</f>
        <v>16887.527999999995</v>
      </c>
      <c r="M36" s="39" t="s">
        <v>75</v>
      </c>
    </row>
    <row r="37" spans="4:14" ht="12.75">
      <c r="D37" s="39" t="s">
        <v>49</v>
      </c>
      <c r="I37" s="25">
        <f>SUM(K6:K11)</f>
        <v>-2180.3424144949995</v>
      </c>
      <c r="J37" s="104"/>
      <c r="L37" s="52">
        <f>SUM(L35:L36)</f>
        <v>949.5052796949985</v>
      </c>
      <c r="M37" s="54" t="s">
        <v>74</v>
      </c>
      <c r="N37" s="47"/>
    </row>
    <row r="38" spans="4:10" ht="12.75">
      <c r="D38" s="39" t="s">
        <v>50</v>
      </c>
      <c r="I38" s="43">
        <f>SUM(C6:C11)*19%</f>
        <v>166.373424</v>
      </c>
      <c r="J38" s="104"/>
    </row>
    <row r="39" spans="4:14" ht="12.75">
      <c r="D39" s="39" t="s">
        <v>51</v>
      </c>
      <c r="I39" s="25">
        <f>I37-I38</f>
        <v>-2346.7158384949994</v>
      </c>
      <c r="J39" s="104"/>
      <c r="L39" s="55"/>
      <c r="M39" s="55"/>
      <c r="N39" s="55"/>
    </row>
    <row r="40" spans="10:14" ht="12.75">
      <c r="J40" s="104"/>
      <c r="L40" s="92" t="s">
        <v>76</v>
      </c>
      <c r="M40" s="93"/>
      <c r="N40" s="93"/>
    </row>
    <row r="41" spans="4:14" ht="13.5" thickBot="1">
      <c r="D41" s="39" t="s">
        <v>52</v>
      </c>
      <c r="J41" s="105"/>
      <c r="L41" s="93"/>
      <c r="M41" s="93"/>
      <c r="N41" s="93"/>
    </row>
    <row r="42" spans="4:14" ht="12.75">
      <c r="D42" s="39" t="s">
        <v>53</v>
      </c>
      <c r="L42" s="93"/>
      <c r="M42" s="93"/>
      <c r="N42" s="93"/>
    </row>
    <row r="43" spans="12:14" ht="12.75">
      <c r="L43" s="93"/>
      <c r="M43" s="93"/>
      <c r="N43" s="93"/>
    </row>
    <row r="44" spans="2:14" ht="12.75">
      <c r="B44" s="39" t="s">
        <v>65</v>
      </c>
      <c r="D44" s="39"/>
      <c r="L44" s="93"/>
      <c r="M44" s="93"/>
      <c r="N44" s="93"/>
    </row>
    <row r="45" spans="2:14" ht="12.75">
      <c r="B45" s="39" t="s">
        <v>66</v>
      </c>
      <c r="L45" s="93"/>
      <c r="M45" s="93"/>
      <c r="N45" s="93"/>
    </row>
    <row r="46" spans="2:14" ht="12.75">
      <c r="B46" s="39" t="s">
        <v>67</v>
      </c>
      <c r="E46" s="50">
        <f>C27</f>
        <v>3377.5055999999995</v>
      </c>
      <c r="L46" s="55"/>
      <c r="M46" s="55"/>
      <c r="N46" s="55"/>
    </row>
    <row r="47" spans="2:14" ht="12.75">
      <c r="B47" s="39" t="s">
        <v>68</v>
      </c>
      <c r="E47" s="51">
        <f>E46/Ausgangsdaten!C7</f>
        <v>47303.99999999999</v>
      </c>
      <c r="L47" s="39" t="s">
        <v>77</v>
      </c>
      <c r="M47" s="4">
        <v>0.03</v>
      </c>
      <c r="N47" t="s">
        <v>78</v>
      </c>
    </row>
    <row r="48" spans="2:14" ht="12.75">
      <c r="B48" s="39" t="s">
        <v>69</v>
      </c>
      <c r="E48" s="50">
        <f>E47*Ausgangsdaten!C9</f>
        <v>14191.199999999997</v>
      </c>
      <c r="L48" s="39" t="s">
        <v>88</v>
      </c>
      <c r="M48" s="56">
        <f>G53</f>
        <v>330.00068047499985</v>
      </c>
      <c r="N48" s="39" t="s">
        <v>84</v>
      </c>
    </row>
    <row r="49" spans="2:14" ht="12.75">
      <c r="B49" s="39" t="s">
        <v>70</v>
      </c>
      <c r="E49" s="53">
        <f>E48*1.19</f>
        <v>16887.527999999995</v>
      </c>
      <c r="L49" s="39" t="s">
        <v>85</v>
      </c>
      <c r="M49">
        <v>20</v>
      </c>
      <c r="N49" s="39" t="s">
        <v>86</v>
      </c>
    </row>
    <row r="50" spans="2:5" ht="12.75">
      <c r="B50" s="47" t="s">
        <v>79</v>
      </c>
      <c r="C50" s="47"/>
      <c r="D50" s="47"/>
      <c r="E50" s="53">
        <f>E47*Ausgangsdaten!C34</f>
        <v>11825.999999999998</v>
      </c>
    </row>
    <row r="51" spans="2:14" ht="12.75">
      <c r="B51" s="39" t="s">
        <v>80</v>
      </c>
      <c r="E51" s="50">
        <f>E49-E50</f>
        <v>5061.527999999997</v>
      </c>
      <c r="L51" s="39" t="s">
        <v>87</v>
      </c>
      <c r="N51" s="53">
        <f>FV(M47,M49,-M48,0,0)</f>
        <v>8867.241865981623</v>
      </c>
    </row>
    <row r="52" spans="2:12" ht="12.75">
      <c r="B52" s="39" t="s">
        <v>81</v>
      </c>
      <c r="E52" s="25">
        <f>B27</f>
        <v>1538.4856095000002</v>
      </c>
      <c r="L52" s="50"/>
    </row>
    <row r="53" spans="2:7" ht="12.75">
      <c r="B53" s="39" t="s">
        <v>82</v>
      </c>
      <c r="E53" s="50">
        <f>SUM(E51:E52)</f>
        <v>6600.013609499997</v>
      </c>
      <c r="F53" s="39" t="s">
        <v>83</v>
      </c>
      <c r="G53" s="50">
        <f>E53/20</f>
        <v>330.00068047499985</v>
      </c>
    </row>
  </sheetData>
  <sheetProtection/>
  <mergeCells count="21">
    <mergeCell ref="D28:K28"/>
    <mergeCell ref="G4:G5"/>
    <mergeCell ref="H4:H5"/>
    <mergeCell ref="A4:A5"/>
    <mergeCell ref="B4:B5"/>
    <mergeCell ref="D4:D5"/>
    <mergeCell ref="F4:F5"/>
    <mergeCell ref="E4:E5"/>
    <mergeCell ref="L40:N45"/>
    <mergeCell ref="L29:N31"/>
    <mergeCell ref="J31:J41"/>
    <mergeCell ref="C4:C5"/>
    <mergeCell ref="M4:M5"/>
    <mergeCell ref="B3:D3"/>
    <mergeCell ref="L3:N3"/>
    <mergeCell ref="E3:K3"/>
    <mergeCell ref="J4:J5"/>
    <mergeCell ref="K4:K5"/>
    <mergeCell ref="I4:I5"/>
    <mergeCell ref="L4:L5"/>
    <mergeCell ref="N4:N5"/>
  </mergeCells>
  <printOptions/>
  <pageMargins left="1.5748031496062993" right="0.7874015748031497" top="0.984251968503937" bottom="0.984251968503937" header="0.5118110236220472" footer="0.5118110236220472"/>
  <pageSetup fitToHeight="1" fitToWidth="1" horizontalDpi="600" verticalDpi="600" orientation="landscape" paperSize="9" scale="63" r:id="rId2"/>
  <headerFooter alignWithMargins="0">
    <oddHeader>&amp;LWirtschaftlichkeitsrechnung
Photovoltaikanlage mit Speicher&amp;C&amp;A</oddHeader>
    <oddFooter>&amp;L&amp;9(c) Deubner Verlag GmbH &amp; Co. KG Köln
November 2021&amp;RSeite &amp;P von &amp;N</oddFooter>
  </headerFooter>
  <drawing r:id="rId1"/>
</worksheet>
</file>

<file path=xl/worksheets/sheet3.xml><?xml version="1.0" encoding="utf-8"?>
<worksheet xmlns="http://schemas.openxmlformats.org/spreadsheetml/2006/main" xmlns:r="http://schemas.openxmlformats.org/officeDocument/2006/relationships">
  <dimension ref="A1:L68"/>
  <sheetViews>
    <sheetView tabSelected="1" zoomScalePageLayoutView="0" workbookViewId="0" topLeftCell="A19">
      <selection activeCell="J8" sqref="J8"/>
    </sheetView>
  </sheetViews>
  <sheetFormatPr defaultColWidth="11.421875" defaultRowHeight="12.75"/>
  <cols>
    <col min="7" max="7" width="12.140625" style="0" customWidth="1"/>
  </cols>
  <sheetData>
    <row r="1" ht="12.75">
      <c r="A1" t="s">
        <v>91</v>
      </c>
    </row>
    <row r="2" ht="12.75">
      <c r="A2" t="s">
        <v>92</v>
      </c>
    </row>
    <row r="4" ht="12.75">
      <c r="A4" t="s">
        <v>93</v>
      </c>
    </row>
    <row r="5" spans="1:7" ht="26.25" customHeight="1">
      <c r="A5" s="92" t="s">
        <v>96</v>
      </c>
      <c r="B5" s="93"/>
      <c r="C5" s="93"/>
      <c r="D5" s="93"/>
      <c r="E5" s="93"/>
      <c r="F5" s="93"/>
      <c r="G5" s="93"/>
    </row>
    <row r="6" spans="1:7" ht="26.25" customHeight="1">
      <c r="A6" s="92" t="s">
        <v>94</v>
      </c>
      <c r="B6" s="93"/>
      <c r="C6" s="93"/>
      <c r="D6" s="93"/>
      <c r="E6" s="93"/>
      <c r="F6" s="93"/>
      <c r="G6" s="93"/>
    </row>
    <row r="7" spans="1:7" ht="38.25" customHeight="1">
      <c r="A7" s="92" t="s">
        <v>95</v>
      </c>
      <c r="B7" s="93"/>
      <c r="C7" s="93"/>
      <c r="D7" s="93"/>
      <c r="E7" s="93"/>
      <c r="F7" s="93"/>
      <c r="G7" s="93"/>
    </row>
    <row r="8" spans="1:7" ht="55.5" customHeight="1">
      <c r="A8" s="92" t="s">
        <v>143</v>
      </c>
      <c r="B8" s="93"/>
      <c r="C8" s="93"/>
      <c r="D8" s="93"/>
      <c r="E8" s="93"/>
      <c r="F8" s="93"/>
      <c r="G8" s="93"/>
    </row>
    <row r="9" spans="1:7" ht="66" customHeight="1">
      <c r="A9" s="92" t="s">
        <v>142</v>
      </c>
      <c r="B9" s="93"/>
      <c r="C9" s="93"/>
      <c r="D9" s="93"/>
      <c r="E9" s="93"/>
      <c r="F9" s="93"/>
      <c r="G9" s="93"/>
    </row>
    <row r="10" spans="1:7" ht="25.5" customHeight="1">
      <c r="A10" s="57"/>
      <c r="B10" s="58"/>
      <c r="C10" s="58"/>
      <c r="D10" s="58"/>
      <c r="E10" s="58"/>
      <c r="F10" s="58"/>
      <c r="G10" s="58"/>
    </row>
    <row r="11" ht="12.75">
      <c r="A11" s="39" t="s">
        <v>100</v>
      </c>
    </row>
    <row r="13" spans="1:7" ht="12.75">
      <c r="A13" s="47" t="s">
        <v>97</v>
      </c>
      <c r="B13" s="47"/>
      <c r="C13" s="47"/>
      <c r="D13" s="47"/>
      <c r="E13" s="47"/>
      <c r="F13" s="47"/>
      <c r="G13" s="47"/>
    </row>
    <row r="14" ht="12.75">
      <c r="A14" s="39" t="s">
        <v>98</v>
      </c>
    </row>
    <row r="15" ht="12.75">
      <c r="A15" s="39" t="s">
        <v>99</v>
      </c>
    </row>
    <row r="16" spans="1:6" ht="12.75">
      <c r="A16" s="39" t="s">
        <v>102</v>
      </c>
      <c r="F16" s="63">
        <f>Ausgangsdaten!C4</f>
        <v>14011.06</v>
      </c>
    </row>
    <row r="17" spans="1:7" ht="12.75">
      <c r="A17" s="39" t="s">
        <v>101</v>
      </c>
      <c r="F17" s="63"/>
      <c r="G17" s="63">
        <f>F16/20</f>
        <v>700.553</v>
      </c>
    </row>
    <row r="18" spans="1:9" ht="12.75">
      <c r="A18" s="39" t="s">
        <v>104</v>
      </c>
      <c r="E18" s="117">
        <v>0.02</v>
      </c>
      <c r="G18" s="63">
        <f>F16*E18</f>
        <v>280.2212</v>
      </c>
      <c r="I18" s="63"/>
    </row>
    <row r="19" spans="1:7" ht="12.75">
      <c r="A19" s="39" t="s">
        <v>103</v>
      </c>
      <c r="B19" s="39"/>
      <c r="D19" s="63"/>
      <c r="G19" s="63">
        <f>SUM(G17:G18)</f>
        <v>980.7742000000001</v>
      </c>
    </row>
    <row r="20" spans="1:6" ht="12.75">
      <c r="A20" s="39" t="s">
        <v>11</v>
      </c>
      <c r="D20" s="63"/>
      <c r="E20">
        <f>Ausgangsdaten!C11</f>
        <v>3941</v>
      </c>
      <c r="F20" s="39" t="s">
        <v>12</v>
      </c>
    </row>
    <row r="21" spans="1:7" ht="12.75">
      <c r="A21" s="47" t="s">
        <v>105</v>
      </c>
      <c r="B21" s="47"/>
      <c r="C21" s="47"/>
      <c r="D21" s="64"/>
      <c r="E21" s="47"/>
      <c r="F21" s="47"/>
      <c r="G21" s="49">
        <f>G19/E20</f>
        <v>0.24886429840142096</v>
      </c>
    </row>
    <row r="22" ht="12.75">
      <c r="D22" s="63"/>
    </row>
    <row r="23" ht="12.75">
      <c r="A23" s="47" t="s">
        <v>110</v>
      </c>
    </row>
    <row r="24" spans="1:7" ht="12.75">
      <c r="A24" s="39" t="s">
        <v>111</v>
      </c>
      <c r="G24" s="49">
        <v>0.3</v>
      </c>
    </row>
    <row r="25" spans="1:7" ht="12.75">
      <c r="A25" s="39" t="s">
        <v>112</v>
      </c>
      <c r="G25" s="48">
        <f>G21-G24</f>
        <v>-0.051135701598579025</v>
      </c>
    </row>
    <row r="27" spans="1:4" ht="12.75">
      <c r="A27" s="47" t="s">
        <v>109</v>
      </c>
      <c r="D27" s="63"/>
    </row>
    <row r="28" spans="1:6" ht="12.75">
      <c r="A28" s="39" t="s">
        <v>106</v>
      </c>
      <c r="D28" s="63"/>
      <c r="E28">
        <v>3200</v>
      </c>
      <c r="F28" s="39" t="s">
        <v>12</v>
      </c>
    </row>
    <row r="29" spans="1:5" ht="12.75">
      <c r="A29" s="39" t="s">
        <v>107</v>
      </c>
      <c r="D29" s="63"/>
      <c r="E29" s="4">
        <f>Ausgangsdaten!C14</f>
        <v>0.73</v>
      </c>
    </row>
    <row r="30" spans="1:6" ht="12.75">
      <c r="A30" s="39" t="s">
        <v>108</v>
      </c>
      <c r="E30">
        <f>E28*E29</f>
        <v>2336</v>
      </c>
      <c r="F30" s="39" t="s">
        <v>12</v>
      </c>
    </row>
    <row r="32" spans="1:6" ht="12.75">
      <c r="A32" s="47" t="s">
        <v>113</v>
      </c>
      <c r="B32" s="47"/>
      <c r="C32" s="47"/>
      <c r="D32" s="47"/>
      <c r="E32" s="47"/>
      <c r="F32" s="47"/>
    </row>
    <row r="33" spans="1:7" ht="12.75">
      <c r="A33" s="39" t="s">
        <v>124</v>
      </c>
      <c r="G33" s="114">
        <f>E30*G25</f>
        <v>-119.4529989342806</v>
      </c>
    </row>
    <row r="34" spans="1:7" ht="12.75">
      <c r="A34" s="39" t="s">
        <v>114</v>
      </c>
      <c r="B34">
        <v>20</v>
      </c>
      <c r="C34" s="39" t="s">
        <v>86</v>
      </c>
      <c r="D34" s="39" t="s">
        <v>115</v>
      </c>
      <c r="G34" s="63">
        <f>G33*B34</f>
        <v>-2389.059978685612</v>
      </c>
    </row>
    <row r="35" spans="1:7" ht="12.75">
      <c r="A35" s="39"/>
      <c r="C35" s="39"/>
      <c r="D35" s="39"/>
      <c r="G35" s="63"/>
    </row>
    <row r="36" spans="1:5" ht="12.75">
      <c r="A36" s="39" t="s">
        <v>126</v>
      </c>
      <c r="E36" s="25"/>
    </row>
    <row r="37" spans="1:12" ht="12.75">
      <c r="A37" s="39" t="s">
        <v>1</v>
      </c>
      <c r="B37">
        <f>E20-E30</f>
        <v>1605</v>
      </c>
      <c r="C37" s="39" t="s">
        <v>12</v>
      </c>
      <c r="D37">
        <f>Ausgangsdaten!C7</f>
        <v>0.0714</v>
      </c>
      <c r="E37" s="63">
        <f>B37*D37</f>
        <v>114.59700000000001</v>
      </c>
      <c r="I37" s="39"/>
      <c r="K37" s="65"/>
      <c r="L37" s="63"/>
    </row>
    <row r="38" spans="1:12" ht="12.75">
      <c r="A38" s="39" t="s">
        <v>122</v>
      </c>
      <c r="B38">
        <f>B37</f>
        <v>1605</v>
      </c>
      <c r="C38" s="39" t="s">
        <v>12</v>
      </c>
      <c r="D38" s="65">
        <f>G21</f>
        <v>0.24886429840142096</v>
      </c>
      <c r="E38" s="63">
        <f>B38*D38</f>
        <v>399.4271989342806</v>
      </c>
      <c r="G38" s="63"/>
      <c r="I38" s="39"/>
      <c r="K38" s="65"/>
      <c r="L38" s="63"/>
    </row>
    <row r="39" spans="1:12" ht="12.75">
      <c r="A39" s="39" t="s">
        <v>127</v>
      </c>
      <c r="C39" s="39"/>
      <c r="D39" s="65"/>
      <c r="E39" s="63"/>
      <c r="G39" s="63">
        <f>E37-E38</f>
        <v>-284.8301989342806</v>
      </c>
      <c r="I39" s="39"/>
      <c r="K39" s="65"/>
      <c r="L39" s="63"/>
    </row>
    <row r="40" spans="1:12" ht="12.75">
      <c r="A40" s="47" t="s">
        <v>125</v>
      </c>
      <c r="B40" s="47"/>
      <c r="C40" s="47"/>
      <c r="D40" s="47"/>
      <c r="E40" s="47"/>
      <c r="F40" s="47"/>
      <c r="G40" s="64">
        <f>G33-G39</f>
        <v>165.3772</v>
      </c>
      <c r="I40" s="39"/>
      <c r="K40" s="65"/>
      <c r="L40" s="63"/>
    </row>
    <row r="41" spans="1:12" ht="12.75">
      <c r="A41" s="39" t="s">
        <v>128</v>
      </c>
      <c r="G41" s="63">
        <f>G40*20</f>
        <v>3307.544</v>
      </c>
      <c r="I41" s="39"/>
      <c r="K41" s="65"/>
      <c r="L41" s="63"/>
    </row>
    <row r="42" spans="9:12" ht="12.75">
      <c r="I42" s="39"/>
      <c r="K42" s="65"/>
      <c r="L42" s="63"/>
    </row>
    <row r="43" ht="12.75">
      <c r="A43" s="47" t="s">
        <v>134</v>
      </c>
    </row>
    <row r="44" ht="12.75">
      <c r="A44" s="39" t="s">
        <v>144</v>
      </c>
    </row>
    <row r="45" ht="12.75">
      <c r="A45" s="39" t="s">
        <v>130</v>
      </c>
    </row>
    <row r="46" ht="12.75">
      <c r="A46" s="39" t="s">
        <v>131</v>
      </c>
    </row>
    <row r="47" ht="12.75">
      <c r="A47" s="39" t="s">
        <v>141</v>
      </c>
    </row>
    <row r="48" ht="12.75">
      <c r="A48" s="39" t="s">
        <v>132</v>
      </c>
    </row>
    <row r="49" ht="12.75">
      <c r="A49" s="39" t="s">
        <v>133</v>
      </c>
    </row>
    <row r="50" ht="12.75">
      <c r="A50" s="39" t="s">
        <v>145</v>
      </c>
    </row>
    <row r="51" spans="1:12" ht="12.75">
      <c r="A51" s="39" t="s">
        <v>146</v>
      </c>
      <c r="I51" s="116"/>
      <c r="J51" s="116"/>
      <c r="K51" s="116"/>
      <c r="L51" s="116"/>
    </row>
    <row r="52" spans="1:12" ht="12.75">
      <c r="A52" s="39" t="s">
        <v>147</v>
      </c>
      <c r="I52" s="116"/>
      <c r="J52" s="116"/>
      <c r="K52" s="116"/>
      <c r="L52" s="116"/>
    </row>
    <row r="53" spans="1:12" ht="12.75">
      <c r="A53" s="39"/>
      <c r="I53" s="116"/>
      <c r="J53" s="116"/>
      <c r="K53" s="116"/>
      <c r="L53" s="116"/>
    </row>
    <row r="54" spans="1:12" ht="12.75">
      <c r="A54" s="47" t="s">
        <v>129</v>
      </c>
      <c r="L54" s="114"/>
    </row>
    <row r="55" ht="12.75">
      <c r="A55" s="39" t="s">
        <v>120</v>
      </c>
    </row>
    <row r="56" ht="12.75">
      <c r="A56" s="39" t="s">
        <v>116</v>
      </c>
    </row>
    <row r="57" ht="12.75">
      <c r="A57" s="39" t="s">
        <v>117</v>
      </c>
    </row>
    <row r="58" ht="12.75">
      <c r="A58" s="39" t="s">
        <v>118</v>
      </c>
    </row>
    <row r="59" ht="12.75">
      <c r="A59" s="39" t="s">
        <v>119</v>
      </c>
    </row>
    <row r="60" spans="1:12" ht="12.75">
      <c r="A60" s="39" t="s">
        <v>121</v>
      </c>
      <c r="I60" s="115"/>
      <c r="J60" s="116"/>
      <c r="K60" s="116"/>
      <c r="L60" s="116"/>
    </row>
    <row r="61" spans="1:12" ht="12.75">
      <c r="A61" s="39" t="s">
        <v>123</v>
      </c>
      <c r="I61" s="115"/>
      <c r="J61" s="116"/>
      <c r="K61" s="116"/>
      <c r="L61" s="116"/>
    </row>
    <row r="62" ht="12.75">
      <c r="A62" s="39" t="s">
        <v>135</v>
      </c>
    </row>
    <row r="63" ht="12.75">
      <c r="A63" s="39" t="s">
        <v>136</v>
      </c>
    </row>
    <row r="64" ht="12.75">
      <c r="A64" s="39" t="s">
        <v>137</v>
      </c>
    </row>
    <row r="65" ht="12.75">
      <c r="A65" s="39" t="s">
        <v>138</v>
      </c>
    </row>
    <row r="66" ht="12.75">
      <c r="A66" s="39" t="s">
        <v>140</v>
      </c>
    </row>
    <row r="68" ht="12.75">
      <c r="A68" s="39" t="s">
        <v>139</v>
      </c>
    </row>
  </sheetData>
  <sheetProtection/>
  <mergeCells count="5">
    <mergeCell ref="A6:G6"/>
    <mergeCell ref="A5:G5"/>
    <mergeCell ref="A7:G7"/>
    <mergeCell ref="A8:G8"/>
    <mergeCell ref="A9:G9"/>
  </mergeCells>
  <printOptions/>
  <pageMargins left="0.7086614173228347" right="0.7086614173228347" top="0.7874015748031497" bottom="0.7874015748031497" header="0.31496062992125984" footer="0.31496062992125984"/>
  <pageSetup horizontalDpi="300" verticalDpi="300" orientation="portrait" paperSize="9" r:id="rId1"/>
  <headerFooter>
    <oddHeader>&amp;LPhotovoltaikanlage mit Speicher&amp;C&amp;A</oddHeader>
    <oddFooter>&amp;L(c) Deubner Verlag GmbH &amp; Co. KG Köln
November 2021&amp;RSeite&amp;P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Böttges-Papendorf, Dorothee</cp:lastModifiedBy>
  <cp:lastPrinted>2021-11-21T18:27:28Z</cp:lastPrinted>
  <dcterms:created xsi:type="dcterms:W3CDTF">2007-10-09T10:14:37Z</dcterms:created>
  <dcterms:modified xsi:type="dcterms:W3CDTF">2021-11-21T18:57:00Z</dcterms:modified>
  <cp:category/>
  <cp:version/>
  <cp:contentType/>
  <cp:contentStatus/>
</cp:coreProperties>
</file>